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DA\ABX1 26 - DOF RDA Annual Actual Rpt Due Oct 1st\ABX1 26 - DOF Estimate Reports\DOF Estimate Report 10-1-12\"/>
    </mc:Choice>
  </mc:AlternateContent>
  <xr:revisionPtr revIDLastSave="0" documentId="8_{57049F43-A010-4A34-AF92-6A60C75A774D}" xr6:coauthVersionLast="45" xr6:coauthVersionMax="45" xr10:uidLastSave="{00000000-0000-0000-0000-000000000000}"/>
  <bookViews>
    <workbookView xWindow="-120" yWindow="-120" windowWidth="29040" windowHeight="15840"/>
  </bookViews>
  <sheets>
    <sheet name="Jan-June 2013 ROPS " sheetId="4" r:id="rId1"/>
    <sheet name="Prior Yr Collections" sheetId="5" state="hidden" r:id="rId2"/>
  </sheets>
  <definedNames>
    <definedName name="_xlnm.Print_Area" localSheetId="0">'Jan-June 2013 ROPS '!$A$1:$AE$233</definedName>
    <definedName name="_xlnm.Print_Titles" localSheetId="0">'Jan-June 2013 ROPS '!$A:$C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21" i="4" l="1"/>
  <c r="AE174" i="4"/>
  <c r="AE144" i="4"/>
  <c r="AE137" i="4"/>
  <c r="AE121" i="4"/>
  <c r="AE197" i="4"/>
  <c r="N16" i="5"/>
  <c r="N17" i="5"/>
  <c r="F16" i="5"/>
  <c r="F17" i="5"/>
  <c r="AA9" i="5"/>
  <c r="AA10" i="5" s="1"/>
  <c r="AA12" i="5" s="1"/>
  <c r="Z9" i="5"/>
  <c r="Y9" i="5"/>
  <c r="X9" i="5"/>
  <c r="W9" i="5"/>
  <c r="W17" i="5" s="1"/>
  <c r="V9" i="5"/>
  <c r="V17" i="5" s="1"/>
  <c r="U9" i="5"/>
  <c r="T9" i="5"/>
  <c r="S9" i="5"/>
  <c r="S10" i="5" s="1"/>
  <c r="S12" i="5" s="1"/>
  <c r="R9" i="5"/>
  <c r="Q9" i="5"/>
  <c r="P9" i="5"/>
  <c r="P17" i="5" s="1"/>
  <c r="O9" i="5"/>
  <c r="N9" i="5"/>
  <c r="M9" i="5"/>
  <c r="L9" i="5"/>
  <c r="K9" i="5"/>
  <c r="K10" i="5" s="1"/>
  <c r="K12" i="5" s="1"/>
  <c r="J9" i="5"/>
  <c r="I9" i="5"/>
  <c r="H9" i="5"/>
  <c r="G9" i="5"/>
  <c r="F9" i="5"/>
  <c r="E9" i="5"/>
  <c r="D9" i="5"/>
  <c r="C9" i="5"/>
  <c r="C10" i="5" s="1"/>
  <c r="C12" i="5" s="1"/>
  <c r="B9" i="5"/>
  <c r="AC9" i="5" s="1"/>
  <c r="AA8" i="5"/>
  <c r="AA16" i="5" s="1"/>
  <c r="Z8" i="5"/>
  <c r="Z10" i="5" s="1"/>
  <c r="Z12" i="5" s="1"/>
  <c r="Z17" i="5" s="1"/>
  <c r="Y8" i="5"/>
  <c r="Y10" i="5" s="1"/>
  <c r="Y12" i="5" s="1"/>
  <c r="X8" i="5"/>
  <c r="X10" i="5" s="1"/>
  <c r="X12" i="5" s="1"/>
  <c r="W8" i="5"/>
  <c r="W10" i="5" s="1"/>
  <c r="W12" i="5" s="1"/>
  <c r="W16" i="5" s="1"/>
  <c r="V8" i="5"/>
  <c r="V16" i="5" s="1"/>
  <c r="V10" i="5"/>
  <c r="V12" i="5"/>
  <c r="U8" i="5"/>
  <c r="U10" i="5"/>
  <c r="U12" i="5" s="1"/>
  <c r="T8" i="5"/>
  <c r="T10" i="5" s="1"/>
  <c r="T12" i="5" s="1"/>
  <c r="S8" i="5"/>
  <c r="S16" i="5" s="1"/>
  <c r="R8" i="5"/>
  <c r="Q8" i="5"/>
  <c r="Q10" i="5" s="1"/>
  <c r="Q12" i="5" s="1"/>
  <c r="P8" i="5"/>
  <c r="P10" i="5" s="1"/>
  <c r="P12" i="5" s="1"/>
  <c r="O8" i="5"/>
  <c r="N8" i="5"/>
  <c r="N10" i="5"/>
  <c r="N12" i="5"/>
  <c r="M8" i="5"/>
  <c r="M10" i="5"/>
  <c r="M12" i="5" s="1"/>
  <c r="M16" i="5" s="1"/>
  <c r="L8" i="5"/>
  <c r="L10" i="5" s="1"/>
  <c r="L12" i="5" s="1"/>
  <c r="K8" i="5"/>
  <c r="K16" i="5" s="1"/>
  <c r="J8" i="5"/>
  <c r="I8" i="5"/>
  <c r="I10" i="5" s="1"/>
  <c r="I12" i="5" s="1"/>
  <c r="H8" i="5"/>
  <c r="H10" i="5" s="1"/>
  <c r="H12" i="5" s="1"/>
  <c r="G8" i="5"/>
  <c r="F8" i="5"/>
  <c r="F10" i="5"/>
  <c r="F12" i="5"/>
  <c r="E8" i="5"/>
  <c r="E10" i="5"/>
  <c r="E12" i="5" s="1"/>
  <c r="E16" i="5" s="1"/>
  <c r="D8" i="5"/>
  <c r="D10" i="5" s="1"/>
  <c r="D12" i="5" s="1"/>
  <c r="C8" i="5"/>
  <c r="C16" i="5" s="1"/>
  <c r="B8" i="5"/>
  <c r="AE198" i="4"/>
  <c r="AE211" i="4"/>
  <c r="AE210" i="4"/>
  <c r="AE209" i="4"/>
  <c r="AE208" i="4"/>
  <c r="AE207" i="4"/>
  <c r="AE212" i="4" s="1"/>
  <c r="AE206" i="4"/>
  <c r="AE205" i="4"/>
  <c r="AE227" i="4"/>
  <c r="E227" i="4"/>
  <c r="F227" i="4"/>
  <c r="G227" i="4"/>
  <c r="H227" i="4"/>
  <c r="I227" i="4"/>
  <c r="J227" i="4"/>
  <c r="K227" i="4"/>
  <c r="L227" i="4"/>
  <c r="M227" i="4"/>
  <c r="N227" i="4"/>
  <c r="O227" i="4"/>
  <c r="P227" i="4"/>
  <c r="Q227" i="4"/>
  <c r="R227" i="4"/>
  <c r="S227" i="4"/>
  <c r="T227" i="4"/>
  <c r="U227" i="4"/>
  <c r="V227" i="4"/>
  <c r="W227" i="4"/>
  <c r="X227" i="4"/>
  <c r="Y227" i="4"/>
  <c r="Z227" i="4"/>
  <c r="AA227" i="4"/>
  <c r="AB227" i="4"/>
  <c r="AC227" i="4"/>
  <c r="D227" i="4"/>
  <c r="E212" i="4"/>
  <c r="F212" i="4"/>
  <c r="G212" i="4"/>
  <c r="H212" i="4"/>
  <c r="I212" i="4"/>
  <c r="J212" i="4"/>
  <c r="K212" i="4"/>
  <c r="L212" i="4"/>
  <c r="M212" i="4"/>
  <c r="N212" i="4"/>
  <c r="O212" i="4"/>
  <c r="P212" i="4"/>
  <c r="Q212" i="4"/>
  <c r="R212" i="4"/>
  <c r="S212" i="4"/>
  <c r="T212" i="4"/>
  <c r="U212" i="4"/>
  <c r="V212" i="4"/>
  <c r="W212" i="4"/>
  <c r="X212" i="4"/>
  <c r="Y212" i="4"/>
  <c r="Z212" i="4"/>
  <c r="AA212" i="4"/>
  <c r="AB212" i="4"/>
  <c r="AC212" i="4"/>
  <c r="D212" i="4"/>
  <c r="AE22" i="4"/>
  <c r="AE11" i="4"/>
  <c r="AE132" i="4"/>
  <c r="Z16" i="4"/>
  <c r="Z18" i="4" s="1"/>
  <c r="AA16" i="4"/>
  <c r="AA18" i="4" s="1"/>
  <c r="N16" i="4"/>
  <c r="N18" i="4" s="1"/>
  <c r="AB16" i="4"/>
  <c r="AB18" i="4" s="1"/>
  <c r="O16" i="4"/>
  <c r="O18" i="4" s="1"/>
  <c r="AC16" i="4"/>
  <c r="AC18" i="4" s="1"/>
  <c r="S16" i="4"/>
  <c r="S18" i="4" s="1"/>
  <c r="W16" i="4"/>
  <c r="W18" i="4"/>
  <c r="M16" i="4"/>
  <c r="M18" i="4" s="1"/>
  <c r="T16" i="4"/>
  <c r="T18" i="4" s="1"/>
  <c r="F16" i="4"/>
  <c r="F18" i="4" s="1"/>
  <c r="K16" i="4"/>
  <c r="K18" i="4"/>
  <c r="G16" i="4"/>
  <c r="G18" i="4" s="1"/>
  <c r="J16" i="4"/>
  <c r="J18" i="4" s="1"/>
  <c r="R16" i="4"/>
  <c r="R18" i="4" s="1"/>
  <c r="L16" i="4"/>
  <c r="L18" i="4" s="1"/>
  <c r="X16" i="4"/>
  <c r="X18" i="4" s="1"/>
  <c r="V16" i="4"/>
  <c r="V18" i="4" s="1"/>
  <c r="E16" i="4"/>
  <c r="E18" i="4" s="1"/>
  <c r="H16" i="4"/>
  <c r="H18" i="4" s="1"/>
  <c r="Y16" i="4"/>
  <c r="Y18" i="4" s="1"/>
  <c r="Q16" i="4"/>
  <c r="Q18" i="4" s="1"/>
  <c r="P16" i="4"/>
  <c r="P18" i="4" s="1"/>
  <c r="I16" i="4"/>
  <c r="I18" i="4" s="1"/>
  <c r="D16" i="4"/>
  <c r="D18" i="4"/>
  <c r="U16" i="4"/>
  <c r="U18" i="4" s="1"/>
  <c r="AE14" i="4"/>
  <c r="AE15" i="4"/>
  <c r="O145" i="4"/>
  <c r="L145" i="4"/>
  <c r="AE138" i="4"/>
  <c r="AE142" i="4"/>
  <c r="F48" i="4"/>
  <c r="AE89" i="4"/>
  <c r="R48" i="4"/>
  <c r="AE68" i="4"/>
  <c r="AE87" i="4"/>
  <c r="AE100" i="4"/>
  <c r="U48" i="4"/>
  <c r="O24" i="4"/>
  <c r="M24" i="4"/>
  <c r="AE94" i="4"/>
  <c r="L24" i="4"/>
  <c r="Z183" i="4"/>
  <c r="AE66" i="4"/>
  <c r="M195" i="4"/>
  <c r="AE130" i="4"/>
  <c r="P145" i="4"/>
  <c r="AE154" i="4"/>
  <c r="J24" i="4"/>
  <c r="M48" i="4"/>
  <c r="E48" i="4"/>
  <c r="AE81" i="4"/>
  <c r="X24" i="4"/>
  <c r="Q24" i="4"/>
  <c r="Q196" i="4" s="1"/>
  <c r="AE85" i="4"/>
  <c r="AE163" i="4"/>
  <c r="P24" i="4"/>
  <c r="AE50" i="4"/>
  <c r="H145" i="4"/>
  <c r="O119" i="4"/>
  <c r="AE80" i="4"/>
  <c r="AE59" i="4"/>
  <c r="AE136" i="4"/>
  <c r="AE60" i="4"/>
  <c r="AE117" i="4"/>
  <c r="AA145" i="4"/>
  <c r="V24" i="4"/>
  <c r="AE96" i="4"/>
  <c r="AB24" i="4"/>
  <c r="AE64" i="4"/>
  <c r="Q48" i="4"/>
  <c r="AE143" i="4"/>
  <c r="G48" i="4"/>
  <c r="K48" i="4"/>
  <c r="M119" i="4"/>
  <c r="AE109" i="4"/>
  <c r="I48" i="4"/>
  <c r="F24" i="4"/>
  <c r="K24" i="4"/>
  <c r="AE127" i="4"/>
  <c r="Y48" i="4"/>
  <c r="Q119" i="4"/>
  <c r="R24" i="4"/>
  <c r="AE107" i="4"/>
  <c r="AE92" i="4"/>
  <c r="AA24" i="4"/>
  <c r="D48" i="4"/>
  <c r="AE47" i="4"/>
  <c r="AE48" i="4" s="1"/>
  <c r="AB145" i="4"/>
  <c r="V48" i="4"/>
  <c r="AE105" i="4"/>
  <c r="AE65" i="4"/>
  <c r="T24" i="4"/>
  <c r="AE74" i="4"/>
  <c r="AE51" i="4"/>
  <c r="N24" i="4"/>
  <c r="AE110" i="4"/>
  <c r="N48" i="4"/>
  <c r="AE101" i="4"/>
  <c r="E24" i="4"/>
  <c r="AE63" i="4"/>
  <c r="T119" i="4"/>
  <c r="AE97" i="4"/>
  <c r="AE82" i="4"/>
  <c r="I145" i="4"/>
  <c r="U119" i="4"/>
  <c r="F195" i="4"/>
  <c r="N171" i="4"/>
  <c r="S24" i="4"/>
  <c r="AE125" i="4"/>
  <c r="P48" i="4"/>
  <c r="U24" i="4"/>
  <c r="AE73" i="4"/>
  <c r="H24" i="4"/>
  <c r="AB48" i="4"/>
  <c r="AE77" i="4"/>
  <c r="AE71" i="4"/>
  <c r="AE103" i="4"/>
  <c r="AE86" i="4"/>
  <c r="Z24" i="4"/>
  <c r="AE72" i="4"/>
  <c r="AE102" i="4"/>
  <c r="AE54" i="4"/>
  <c r="AE70" i="4"/>
  <c r="AE91" i="4"/>
  <c r="G24" i="4"/>
  <c r="AE56" i="4"/>
  <c r="Y24" i="4"/>
  <c r="AE118" i="4"/>
  <c r="AE23" i="4"/>
  <c r="AE24" i="4"/>
  <c r="D24" i="4"/>
  <c r="AE90" i="4"/>
  <c r="L48" i="4"/>
  <c r="AE88" i="4"/>
  <c r="Y171" i="4"/>
  <c r="S48" i="4"/>
  <c r="AE111" i="4"/>
  <c r="AE62" i="4"/>
  <c r="AE116" i="4"/>
  <c r="AE141" i="4"/>
  <c r="AE104" i="4"/>
  <c r="O48" i="4"/>
  <c r="AE78" i="4"/>
  <c r="AE52" i="4"/>
  <c r="AE126" i="4"/>
  <c r="AC119" i="4"/>
  <c r="X145" i="4"/>
  <c r="AE147" i="4"/>
  <c r="K145" i="4"/>
  <c r="AC24" i="4"/>
  <c r="X48" i="4"/>
  <c r="AE108" i="4"/>
  <c r="T48" i="4"/>
  <c r="Z48" i="4"/>
  <c r="AE113" i="4"/>
  <c r="AE161" i="4"/>
  <c r="E183" i="4"/>
  <c r="AE124" i="4"/>
  <c r="AE58" i="4"/>
  <c r="G119" i="4"/>
  <c r="AE181" i="4"/>
  <c r="H119" i="4"/>
  <c r="Z119" i="4"/>
  <c r="V171" i="4"/>
  <c r="G189" i="4"/>
  <c r="E189" i="4"/>
  <c r="AE173" i="4"/>
  <c r="I24" i="4"/>
  <c r="AE131" i="4"/>
  <c r="N177" i="4"/>
  <c r="AE167" i="4"/>
  <c r="H48" i="4"/>
  <c r="Q189" i="4"/>
  <c r="R145" i="4"/>
  <c r="AE139" i="4"/>
  <c r="AE148" i="4"/>
  <c r="V183" i="4"/>
  <c r="AE187" i="4"/>
  <c r="AE135" i="4"/>
  <c r="R171" i="4"/>
  <c r="AE164" i="4"/>
  <c r="AE95" i="4"/>
  <c r="AE122" i="4"/>
  <c r="J119" i="4"/>
  <c r="D189" i="4"/>
  <c r="AE184" i="4"/>
  <c r="W183" i="4"/>
  <c r="J183" i="4"/>
  <c r="J196" i="4" s="1"/>
  <c r="L183" i="4"/>
  <c r="J48" i="4"/>
  <c r="P119" i="4"/>
  <c r="U145" i="4"/>
  <c r="AE160" i="4"/>
  <c r="AE61" i="4"/>
  <c r="AE49" i="4"/>
  <c r="D119" i="4"/>
  <c r="D199" i="4" s="1"/>
  <c r="D201" i="4" s="1"/>
  <c r="D214" i="4" s="1"/>
  <c r="AE75" i="4"/>
  <c r="AE123" i="4"/>
  <c r="AC145" i="4"/>
  <c r="K119" i="4"/>
  <c r="AE146" i="4"/>
  <c r="D171" i="4"/>
  <c r="AE156" i="4"/>
  <c r="M177" i="4"/>
  <c r="AC171" i="4"/>
  <c r="AE133" i="4"/>
  <c r="K171" i="4"/>
  <c r="AA48" i="4"/>
  <c r="H171" i="4"/>
  <c r="AE155" i="4"/>
  <c r="AE151" i="4"/>
  <c r="AE129" i="4"/>
  <c r="AE55" i="4"/>
  <c r="M145" i="4"/>
  <c r="Y145" i="4"/>
  <c r="S145" i="4"/>
  <c r="L171" i="4"/>
  <c r="I177" i="4"/>
  <c r="R177" i="4"/>
  <c r="AE172" i="4"/>
  <c r="D177" i="4"/>
  <c r="AE67" i="4"/>
  <c r="AA119" i="4"/>
  <c r="V119" i="4"/>
  <c r="Q171" i="4"/>
  <c r="AE112" i="4"/>
  <c r="AB119" i="4"/>
  <c r="Y119" i="4"/>
  <c r="S119" i="4"/>
  <c r="I119" i="4"/>
  <c r="AC48" i="4"/>
  <c r="J145" i="4"/>
  <c r="AE152" i="4"/>
  <c r="AB171" i="4"/>
  <c r="AB196" i="4" s="1"/>
  <c r="AE98" i="4"/>
  <c r="E145" i="4"/>
  <c r="Z145" i="4"/>
  <c r="X119" i="4"/>
  <c r="M171" i="4"/>
  <c r="D183" i="4"/>
  <c r="AE178" i="4"/>
  <c r="V145" i="4"/>
  <c r="J171" i="4"/>
  <c r="AA177" i="4"/>
  <c r="V189" i="4"/>
  <c r="G171" i="4"/>
  <c r="L119" i="4"/>
  <c r="N145" i="4"/>
  <c r="AE134" i="4"/>
  <c r="F145" i="4"/>
  <c r="AE69" i="4"/>
  <c r="S171" i="4"/>
  <c r="Z171" i="4"/>
  <c r="AE106" i="4"/>
  <c r="E119" i="4"/>
  <c r="P171" i="4"/>
  <c r="AE159" i="4"/>
  <c r="AE169" i="4"/>
  <c r="F119" i="4"/>
  <c r="T145" i="4"/>
  <c r="AB177" i="4"/>
  <c r="AE170" i="4"/>
  <c r="O177" i="4"/>
  <c r="AE57" i="4"/>
  <c r="N119" i="4"/>
  <c r="O171" i="4"/>
  <c r="E195" i="4"/>
  <c r="AE192" i="4"/>
  <c r="AE158" i="4"/>
  <c r="D145" i="4"/>
  <c r="AE120" i="4"/>
  <c r="AE180" i="4"/>
  <c r="Q145" i="4"/>
  <c r="T171" i="4"/>
  <c r="AE157" i="4"/>
  <c r="R119" i="4"/>
  <c r="I171" i="4"/>
  <c r="AE149" i="4"/>
  <c r="AE153" i="4"/>
  <c r="AA171" i="4"/>
  <c r="X183" i="4"/>
  <c r="AE176" i="4"/>
  <c r="G145" i="4"/>
  <c r="Y183" i="4"/>
  <c r="V195" i="4"/>
  <c r="AE128" i="4"/>
  <c r="W119" i="4"/>
  <c r="X171" i="4"/>
  <c r="V177" i="4"/>
  <c r="AE162" i="4"/>
  <c r="S183" i="4"/>
  <c r="E177" i="4"/>
  <c r="W24" i="4"/>
  <c r="AE179" i="4"/>
  <c r="AE183" i="4" s="1"/>
  <c r="AE191" i="4"/>
  <c r="Z177" i="4"/>
  <c r="U177" i="4"/>
  <c r="G183" i="4"/>
  <c r="AE175" i="4"/>
  <c r="J189" i="4"/>
  <c r="K177" i="4"/>
  <c r="AB189" i="4"/>
  <c r="AE165" i="4"/>
  <c r="Q183" i="4"/>
  <c r="W145" i="4"/>
  <c r="O183" i="4"/>
  <c r="T177" i="4"/>
  <c r="Z189" i="4"/>
  <c r="AE168" i="4"/>
  <c r="G195" i="4"/>
  <c r="F183" i="4"/>
  <c r="AC177" i="4"/>
  <c r="P177" i="4"/>
  <c r="AE190" i="4"/>
  <c r="D195" i="4"/>
  <c r="K195" i="4"/>
  <c r="U171" i="4"/>
  <c r="J177" i="4"/>
  <c r="J199" i="4" s="1"/>
  <c r="M189" i="4"/>
  <c r="AA195" i="4"/>
  <c r="AC183" i="4"/>
  <c r="N195" i="4"/>
  <c r="U189" i="4"/>
  <c r="O189" i="4"/>
  <c r="AB183" i="4"/>
  <c r="S177" i="4"/>
  <c r="N183" i="4"/>
  <c r="AE193" i="4"/>
  <c r="AB195" i="4"/>
  <c r="AE182" i="4"/>
  <c r="L177" i="4"/>
  <c r="U183" i="4"/>
  <c r="K183" i="4"/>
  <c r="Q177" i="4"/>
  <c r="F189" i="4"/>
  <c r="P195" i="4"/>
  <c r="P183" i="4"/>
  <c r="G177" i="4"/>
  <c r="M183" i="4"/>
  <c r="S195" i="4"/>
  <c r="P189" i="4"/>
  <c r="R195" i="4"/>
  <c r="F171" i="4"/>
  <c r="F177" i="4"/>
  <c r="I183" i="4"/>
  <c r="X189" i="4"/>
  <c r="AA183" i="4"/>
  <c r="Z195" i="4"/>
  <c r="H177" i="4"/>
  <c r="J195" i="4"/>
  <c r="R183" i="4"/>
  <c r="H183" i="4"/>
  <c r="E171" i="4"/>
  <c r="Q195" i="4"/>
  <c r="N189" i="4"/>
  <c r="I189" i="4"/>
  <c r="Y189" i="4"/>
  <c r="R189" i="4"/>
  <c r="I195" i="4"/>
  <c r="AE53" i="4"/>
  <c r="AE185" i="4"/>
  <c r="W177" i="4"/>
  <c r="AC195" i="4"/>
  <c r="AE188" i="4"/>
  <c r="AE194" i="4"/>
  <c r="AE150" i="4"/>
  <c r="X195" i="4"/>
  <c r="Y177" i="4"/>
  <c r="T183" i="4"/>
  <c r="K189" i="4"/>
  <c r="O195" i="4"/>
  <c r="H195" i="4"/>
  <c r="W195" i="4"/>
  <c r="X177" i="4"/>
  <c r="U195" i="4"/>
  <c r="Y195" i="4"/>
  <c r="T189" i="4"/>
  <c r="AE186" i="4"/>
  <c r="AA189" i="4"/>
  <c r="T195" i="4"/>
  <c r="AC189" i="4"/>
  <c r="H189" i="4"/>
  <c r="W48" i="4"/>
  <c r="AE115" i="4"/>
  <c r="L195" i="4"/>
  <c r="S189" i="4"/>
  <c r="W171" i="4"/>
  <c r="AE93" i="4"/>
  <c r="L189" i="4"/>
  <c r="AE83" i="4"/>
  <c r="AE99" i="4"/>
  <c r="AE140" i="4"/>
  <c r="AE76" i="4"/>
  <c r="AE84" i="4"/>
  <c r="AE166" i="4"/>
  <c r="AE114" i="4"/>
  <c r="W189" i="4"/>
  <c r="AE79" i="4"/>
  <c r="Y46" i="4"/>
  <c r="E46" i="4"/>
  <c r="D46" i="4"/>
  <c r="AE25" i="4"/>
  <c r="AE44" i="4"/>
  <c r="P46" i="4"/>
  <c r="AE27" i="4"/>
  <c r="AE28" i="4"/>
  <c r="J46" i="4"/>
  <c r="AC46" i="4"/>
  <c r="AE32" i="4"/>
  <c r="AE35" i="4"/>
  <c r="I46" i="4"/>
  <c r="N46" i="4"/>
  <c r="L46" i="4"/>
  <c r="AE31" i="4"/>
  <c r="AE30" i="4"/>
  <c r="M46" i="4"/>
  <c r="O46" i="4"/>
  <c r="AE36" i="4"/>
  <c r="AE39" i="4"/>
  <c r="Q46" i="4"/>
  <c r="AE43" i="4"/>
  <c r="R46" i="4"/>
  <c r="X46" i="4"/>
  <c r="AE40" i="4"/>
  <c r="AE37" i="4"/>
  <c r="AE29" i="4"/>
  <c r="G46" i="4"/>
  <c r="H46" i="4"/>
  <c r="T46" i="4"/>
  <c r="AE45" i="4"/>
  <c r="U46" i="4"/>
  <c r="V46" i="4"/>
  <c r="AE42" i="4"/>
  <c r="AE26" i="4"/>
  <c r="AE33" i="4"/>
  <c r="S46" i="4"/>
  <c r="Z46" i="4"/>
  <c r="AB46" i="4"/>
  <c r="AE38" i="4"/>
  <c r="K46" i="4"/>
  <c r="AE41" i="4"/>
  <c r="W46" i="4"/>
  <c r="AE34" i="4"/>
  <c r="F46" i="4"/>
  <c r="F199" i="4" s="1"/>
  <c r="AA46" i="4"/>
  <c r="AB199" i="4"/>
  <c r="AE46" i="4" l="1"/>
  <c r="V199" i="4"/>
  <c r="V201" i="4" s="1"/>
  <c r="V214" i="4" s="1"/>
  <c r="I199" i="4"/>
  <c r="D196" i="4"/>
  <c r="AE189" i="4"/>
  <c r="N196" i="4"/>
  <c r="AE195" i="4"/>
  <c r="R199" i="4"/>
  <c r="R201" i="4" s="1"/>
  <c r="R214" i="4" s="1"/>
  <c r="AE16" i="4"/>
  <c r="AE18" i="4" s="1"/>
  <c r="U196" i="4"/>
  <c r="AB201" i="4"/>
  <c r="AB214" i="4" s="1"/>
  <c r="AA199" i="4"/>
  <c r="T199" i="4"/>
  <c r="T201" i="4" s="1"/>
  <c r="T214" i="4" s="1"/>
  <c r="Y199" i="4"/>
  <c r="Y201" i="4" s="1"/>
  <c r="Y214" i="4" s="1"/>
  <c r="U199" i="4"/>
  <c r="AE145" i="4"/>
  <c r="E196" i="4"/>
  <c r="L196" i="4"/>
  <c r="G196" i="4"/>
  <c r="F201" i="4"/>
  <c r="F214" i="4" s="1"/>
  <c r="H196" i="4"/>
  <c r="V196" i="4"/>
  <c r="G199" i="4"/>
  <c r="G201" i="4" s="1"/>
  <c r="G214" i="4" s="1"/>
  <c r="Q199" i="4"/>
  <c r="Q201" i="4" s="1"/>
  <c r="Q214" i="4" s="1"/>
  <c r="W196" i="4"/>
  <c r="M199" i="4"/>
  <c r="M201" i="4" s="1"/>
  <c r="M214" i="4" s="1"/>
  <c r="AA196" i="4"/>
  <c r="K196" i="4"/>
  <c r="AE177" i="4"/>
  <c r="X196" i="4"/>
  <c r="Y196" i="4"/>
  <c r="Z196" i="4"/>
  <c r="N199" i="4"/>
  <c r="N201" i="4" s="1"/>
  <c r="N214" i="4" s="1"/>
  <c r="P196" i="4"/>
  <c r="J201" i="4"/>
  <c r="J214" i="4" s="1"/>
  <c r="AE119" i="4"/>
  <c r="AE199" i="4" s="1"/>
  <c r="AE201" i="4" s="1"/>
  <c r="R196" i="4"/>
  <c r="AE171" i="4"/>
  <c r="AC196" i="4"/>
  <c r="I196" i="4"/>
  <c r="T196" i="4"/>
  <c r="Z199" i="4"/>
  <c r="Z201" i="4" s="1"/>
  <c r="Z214" i="4" s="1"/>
  <c r="O196" i="4"/>
  <c r="X199" i="4"/>
  <c r="X201" i="4" s="1"/>
  <c r="X214" i="4" s="1"/>
  <c r="S196" i="4"/>
  <c r="I201" i="4"/>
  <c r="I214" i="4" s="1"/>
  <c r="F196" i="4"/>
  <c r="S199" i="4"/>
  <c r="S201" i="4" s="1"/>
  <c r="S214" i="4" s="1"/>
  <c r="AC199" i="4"/>
  <c r="AC201" i="4" s="1"/>
  <c r="AC214" i="4" s="1"/>
  <c r="H17" i="5"/>
  <c r="U201" i="4"/>
  <c r="U214" i="4" s="1"/>
  <c r="H201" i="4"/>
  <c r="H214" i="4" s="1"/>
  <c r="I16" i="5"/>
  <c r="I17" i="5"/>
  <c r="U16" i="5"/>
  <c r="X17" i="5"/>
  <c r="X16" i="5"/>
  <c r="Y17" i="5"/>
  <c r="Y16" i="5"/>
  <c r="AA201" i="4"/>
  <c r="AA214" i="4" s="1"/>
  <c r="Q16" i="5"/>
  <c r="Q17" i="5"/>
  <c r="D17" i="5"/>
  <c r="L17" i="5"/>
  <c r="T17" i="5"/>
  <c r="G17" i="5"/>
  <c r="E17" i="5"/>
  <c r="M17" i="5"/>
  <c r="U17" i="5"/>
  <c r="L199" i="4"/>
  <c r="L201" i="4" s="1"/>
  <c r="L214" i="4" s="1"/>
  <c r="D16" i="5"/>
  <c r="H16" i="5"/>
  <c r="L16" i="5"/>
  <c r="P16" i="5"/>
  <c r="T16" i="5"/>
  <c r="E199" i="4"/>
  <c r="E201" i="4" s="1"/>
  <c r="E214" i="4" s="1"/>
  <c r="H199" i="4"/>
  <c r="O199" i="4"/>
  <c r="O201" i="4" s="1"/>
  <c r="O214" i="4" s="1"/>
  <c r="AC8" i="5"/>
  <c r="AA17" i="5"/>
  <c r="Z16" i="5"/>
  <c r="G10" i="5"/>
  <c r="G12" i="5" s="1"/>
  <c r="G16" i="5" s="1"/>
  <c r="O10" i="5"/>
  <c r="O12" i="5" s="1"/>
  <c r="O16" i="5" s="1"/>
  <c r="M196" i="4"/>
  <c r="K199" i="4"/>
  <c r="K201" i="4" s="1"/>
  <c r="K214" i="4" s="1"/>
  <c r="B10" i="5"/>
  <c r="B12" i="5" s="1"/>
  <c r="B17" i="5" s="1"/>
  <c r="J10" i="5"/>
  <c r="J12" i="5" s="1"/>
  <c r="J17" i="5" s="1"/>
  <c r="R10" i="5"/>
  <c r="R12" i="5" s="1"/>
  <c r="R17" i="5" s="1"/>
  <c r="P199" i="4"/>
  <c r="P201" i="4" s="1"/>
  <c r="P214" i="4" s="1"/>
  <c r="W199" i="4"/>
  <c r="W201" i="4" s="1"/>
  <c r="W214" i="4" s="1"/>
  <c r="C17" i="5"/>
  <c r="K17" i="5"/>
  <c r="S17" i="5"/>
  <c r="AE214" i="4" l="1"/>
  <c r="AE196" i="4"/>
  <c r="R16" i="5"/>
  <c r="O17" i="5"/>
  <c r="AC10" i="5"/>
  <c r="AC12" i="5" s="1"/>
  <c r="AC17" i="5" s="1"/>
  <c r="B16" i="5"/>
  <c r="J16" i="5"/>
  <c r="AC16" i="5" l="1"/>
</calcChain>
</file>

<file path=xl/sharedStrings.xml><?xml version="1.0" encoding="utf-8"?>
<sst xmlns="http://schemas.openxmlformats.org/spreadsheetml/2006/main" count="626" uniqueCount="369">
  <si>
    <t>(Whole Numbers)</t>
  </si>
  <si>
    <t>Redevelopment Property Tax Trust Fund (RPTTF) Activity</t>
  </si>
  <si>
    <t>Deposits:</t>
  </si>
  <si>
    <t>Secured &amp; Unsecured Property Tax Increment</t>
  </si>
  <si>
    <t>Supplemental &amp; Unitary Property Tax Increment</t>
  </si>
  <si>
    <t>Deposit totals</t>
  </si>
  <si>
    <t>SB2557 Administration Fees</t>
  </si>
  <si>
    <t>ERAF Passthrough Payments</t>
  </si>
  <si>
    <t>City Passthrough Payments</t>
  </si>
  <si>
    <t>County Passthrough Payments</t>
  </si>
  <si>
    <t>Special District Passthrough Payments</t>
  </si>
  <si>
    <t>K-12 School Passthrough Payments - Tax Portion</t>
  </si>
  <si>
    <t>K-12 School Passthrough Payments - Facilities Portion</t>
  </si>
  <si>
    <t>Community College Passthrough Payments - Tax Portion</t>
  </si>
  <si>
    <t>Community College Passthrough Payments - Facilities Portion</t>
  </si>
  <si>
    <t>County Office of Education - Tax Portion</t>
  </si>
  <si>
    <t>County Office of Education - Facilities Portion</t>
  </si>
  <si>
    <t>SCO Invoices for Audit and Oversight</t>
  </si>
  <si>
    <t>H&amp;S Code 34183 Dist Totals</t>
  </si>
  <si>
    <t>Residual Balance</t>
  </si>
  <si>
    <t>Residual Balance to Cities</t>
  </si>
  <si>
    <t>Residual Balance to Counties</t>
  </si>
  <si>
    <t>Residual Balance to Special Districts</t>
  </si>
  <si>
    <t>Residual Balance to K-12 Schools</t>
  </si>
  <si>
    <t>Residual Balance to Community Colleges</t>
  </si>
  <si>
    <t>County Office of Education</t>
  </si>
  <si>
    <t>ERAF</t>
  </si>
  <si>
    <t xml:space="preserve">Cities </t>
  </si>
  <si>
    <t>Counties</t>
  </si>
  <si>
    <t xml:space="preserve">Special Districts </t>
  </si>
  <si>
    <t xml:space="preserve">K-12 Schools </t>
  </si>
  <si>
    <t>Community Colleges</t>
  </si>
  <si>
    <t>Total "Haircut" Amounts</t>
  </si>
  <si>
    <t>Available Property Tax Increment Balance</t>
  </si>
  <si>
    <t xml:space="preserve">HSC section 34183 (a) (4) Residual Distributions </t>
  </si>
  <si>
    <t>(Figures should include the effect of any HSC section 34188 "haircutting")</t>
  </si>
  <si>
    <t>RPTTF Beginning Balance (Must be $0 in all cases)</t>
  </si>
  <si>
    <t>Amounts Gained or Lost via HSC section 34188 "haircutting" - Use positive or negative sums as appropriate (Totals must net to zero)</t>
  </si>
  <si>
    <t>Ending RPTTF Balance  (MUST be $0 in all cases)</t>
  </si>
  <si>
    <t>Please note this section should only be filled out if the auditor-controller applied the HSC section 34188 "haircuts".  Do not complete this section if your office did not apply the "haircuts".</t>
  </si>
  <si>
    <t>H&amp;S Code 34183 Distributions - Should include payments made either by the former RDA/successor agency or the auditor-controller</t>
  </si>
  <si>
    <t>County of San Bernardino</t>
  </si>
  <si>
    <t>Adelanto</t>
  </si>
  <si>
    <t>Apple Valley</t>
  </si>
  <si>
    <t>Barstow</t>
  </si>
  <si>
    <t>Big Bear Lake</t>
  </si>
  <si>
    <t>Chino</t>
  </si>
  <si>
    <t>Colton</t>
  </si>
  <si>
    <t>Fontana</t>
  </si>
  <si>
    <t>Grand Terrace</t>
  </si>
  <si>
    <t>Hesperia</t>
  </si>
  <si>
    <t>Highland</t>
  </si>
  <si>
    <t>Inland Valley Development Agency</t>
  </si>
  <si>
    <t>Loma Linda</t>
  </si>
  <si>
    <t>Montclair</t>
  </si>
  <si>
    <t>Needles</t>
  </si>
  <si>
    <t>Ontario</t>
  </si>
  <si>
    <t>Rancho Cucamonga</t>
  </si>
  <si>
    <t>Redlands</t>
  </si>
  <si>
    <t>Rialto</t>
  </si>
  <si>
    <t>City of San Bernardino</t>
  </si>
  <si>
    <t>Twentynine Palms</t>
  </si>
  <si>
    <t>Upland</t>
  </si>
  <si>
    <t>Victorville</t>
  </si>
  <si>
    <t>Victor Valley Econ. Dev. Agency</t>
  </si>
  <si>
    <t>Yucaipa</t>
  </si>
  <si>
    <t>Yucca Valley</t>
  </si>
  <si>
    <t>Total</t>
  </si>
  <si>
    <t>Administrative Fees to County Auditor-Controller</t>
  </si>
  <si>
    <t>Redevelopment Property Tax Trust Fund Allocation Estimates for January 2013-June 2013 ROPS</t>
  </si>
  <si>
    <t>May 1, 2012 through 12/13/12 Collection Period ESTIMATES</t>
  </si>
  <si>
    <t xml:space="preserve">ROPS Enforceable Obligations Payable from Property Taxes (Includes Successor Agency Administrative Budget).  </t>
  </si>
  <si>
    <t>Secured &amp; Unsecured %</t>
  </si>
  <si>
    <t>Supplemental &amp; Unitary %</t>
  </si>
  <si>
    <t>CC02-GA01</t>
  </si>
  <si>
    <t>CC03-GA01</t>
  </si>
  <si>
    <t>CC04-GA01</t>
  </si>
  <si>
    <t>CC04-GA02</t>
  </si>
  <si>
    <t>CC06-GA01</t>
  </si>
  <si>
    <t>CC08-GA01</t>
  </si>
  <si>
    <t>CC10-GA01</t>
  </si>
  <si>
    <t>CC12-GA01</t>
  </si>
  <si>
    <t>CC14-GA01</t>
  </si>
  <si>
    <t>CC15-GA01</t>
  </si>
  <si>
    <t>CC16-GA01</t>
  </si>
  <si>
    <t>CC17-GA01</t>
  </si>
  <si>
    <t>CC18-GA01</t>
  </si>
  <si>
    <t>CC22-GA01</t>
  </si>
  <si>
    <t>CC24-GA01</t>
  </si>
  <si>
    <t>CC26-DA02</t>
  </si>
  <si>
    <t>CC26-GA01</t>
  </si>
  <si>
    <t>CC28-GA01</t>
  </si>
  <si>
    <t>CC30-GA01</t>
  </si>
  <si>
    <t>CC32-GA01</t>
  </si>
  <si>
    <t>CC34-GA01</t>
  </si>
  <si>
    <t>City</t>
  </si>
  <si>
    <t>BF01-GA01</t>
  </si>
  <si>
    <t>BF02-GA01</t>
  </si>
  <si>
    <t>BF03-GA01</t>
  </si>
  <si>
    <t>BF04-GA01</t>
  </si>
  <si>
    <t>BF06-GA01</t>
  </si>
  <si>
    <t>BF07-GA01</t>
  </si>
  <si>
    <t>BF08-GA01</t>
  </si>
  <si>
    <t>BL01-GA01</t>
  </si>
  <si>
    <t>CS06-GA01</t>
  </si>
  <si>
    <t>CS12-GA01</t>
  </si>
  <si>
    <t>CS17-GA01</t>
  </si>
  <si>
    <t>CS18-GA01</t>
  </si>
  <si>
    <t>CS24-GA01</t>
  </si>
  <si>
    <t>CS33-GA01</t>
  </si>
  <si>
    <t>CS33-GA02</t>
  </si>
  <si>
    <t>CS34-GA01</t>
  </si>
  <si>
    <t>CS35-GA01</t>
  </si>
  <si>
    <t>CS36-GA01</t>
  </si>
  <si>
    <t>CS37-GI01</t>
  </si>
  <si>
    <t>UD15-GA01</t>
  </si>
  <si>
    <t>UD16-GA01</t>
  </si>
  <si>
    <t>UD25-GA01</t>
  </si>
  <si>
    <t>UD27-GA01</t>
  </si>
  <si>
    <t>UD44-GA01</t>
  </si>
  <si>
    <t>UD47-GA01</t>
  </si>
  <si>
    <t>UD50-GA01</t>
  </si>
  <si>
    <t>UD98-GA01</t>
  </si>
  <si>
    <t>UF01-GA01</t>
  </si>
  <si>
    <t>UF01-GA03</t>
  </si>
  <si>
    <t>UF01-GA04</t>
  </si>
  <si>
    <t>UF01-GA05</t>
  </si>
  <si>
    <t>UF25-GA01</t>
  </si>
  <si>
    <t>UP07-GA01</t>
  </si>
  <si>
    <t>VB01-GA01</t>
  </si>
  <si>
    <t>VB03-GA01</t>
  </si>
  <si>
    <t>VF02-GA01</t>
  </si>
  <si>
    <t>VP02-GA01</t>
  </si>
  <si>
    <t>VR02-GL01</t>
  </si>
  <si>
    <t>WA01-GA01</t>
  </si>
  <si>
    <t>WF01-GA01</t>
  </si>
  <si>
    <t>WF07-GA02</t>
  </si>
  <si>
    <t>WF07-GA03</t>
  </si>
  <si>
    <t>WH01-GA01</t>
  </si>
  <si>
    <t>WH02-GA01</t>
  </si>
  <si>
    <t>WR01-GL01</t>
  </si>
  <si>
    <t>WR03-GL01</t>
  </si>
  <si>
    <t>WR04-GL01</t>
  </si>
  <si>
    <t>WT01-GL01</t>
  </si>
  <si>
    <t>WT09-GL01</t>
  </si>
  <si>
    <t>WU06-GA01</t>
  </si>
  <si>
    <t>WU08-GA01</t>
  </si>
  <si>
    <t>WU08-GA03</t>
  </si>
  <si>
    <t>WU08-GA05</t>
  </si>
  <si>
    <t>WU23-DA01</t>
  </si>
  <si>
    <t>WU23-GA01</t>
  </si>
  <si>
    <t>WW15-GA01</t>
  </si>
  <si>
    <t>WW21-GA01</t>
  </si>
  <si>
    <t>WW28-GA01</t>
  </si>
  <si>
    <t>WY19-DA01</t>
  </si>
  <si>
    <t>WY19-DA03</t>
  </si>
  <si>
    <t>WY20-GI01</t>
  </si>
  <si>
    <t>Special Districts</t>
  </si>
  <si>
    <t>SE02-GA01</t>
  </si>
  <si>
    <t>SE14-GA01</t>
  </si>
  <si>
    <t>SE22-GA01</t>
  </si>
  <si>
    <t>SE24-GA01</t>
  </si>
  <si>
    <t>SE40-GA01</t>
  </si>
  <si>
    <t>SE44-GA01</t>
  </si>
  <si>
    <t>SE46-GA01</t>
  </si>
  <si>
    <t>SE64-GA01</t>
  </si>
  <si>
    <t>SH16-GA01</t>
  </si>
  <si>
    <t>SH66-GA01</t>
  </si>
  <si>
    <t>SU06-GA01</t>
  </si>
  <si>
    <t>SU10-GA01</t>
  </si>
  <si>
    <t>SU12-GA01</t>
  </si>
  <si>
    <t>SU18-GA01</t>
  </si>
  <si>
    <t>SU20-GA01</t>
  </si>
  <si>
    <t>SU26-GA01</t>
  </si>
  <si>
    <t>SU32-GA01</t>
  </si>
  <si>
    <t>SU36-GA01</t>
  </si>
  <si>
    <t>SU48-GA01</t>
  </si>
  <si>
    <t>SU50-GA01</t>
  </si>
  <si>
    <t>SU54-GA01</t>
  </si>
  <si>
    <t>SU58-GA01</t>
  </si>
  <si>
    <t>SU62-GA01</t>
  </si>
  <si>
    <t>SU68-GA01</t>
  </si>
  <si>
    <t>K-12 Tax</t>
  </si>
  <si>
    <t>K-12 Fac</t>
  </si>
  <si>
    <t>SC10-GA01</t>
  </si>
  <si>
    <t>SC16-GA01</t>
  </si>
  <si>
    <t>SC18-GA01</t>
  </si>
  <si>
    <t>SC54-GA01</t>
  </si>
  <si>
    <t>SC66-GA01</t>
  </si>
  <si>
    <t>BS01-GA01</t>
  </si>
  <si>
    <t>BS01-GA02</t>
  </si>
  <si>
    <t>BS01-GA03</t>
  </si>
  <si>
    <t>BS01-GA04</t>
  </si>
  <si>
    <t>BS01-GA05</t>
  </si>
  <si>
    <t>Comm Coll Tax</t>
  </si>
  <si>
    <t>Comm Coll Fac</t>
  </si>
  <si>
    <t>COE Tax</t>
  </si>
  <si>
    <t>COE Fac</t>
  </si>
  <si>
    <t>RS01</t>
  </si>
  <si>
    <t>RS02</t>
  </si>
  <si>
    <t>RS03</t>
  </si>
  <si>
    <t>RS04</t>
  </si>
  <si>
    <t>RS05</t>
  </si>
  <si>
    <t>RS06</t>
  </si>
  <si>
    <t>RS07</t>
  </si>
  <si>
    <t>RS08</t>
  </si>
  <si>
    <t>RS09</t>
  </si>
  <si>
    <t>RS10</t>
  </si>
  <si>
    <t>RS11</t>
  </si>
  <si>
    <t>RS12</t>
  </si>
  <si>
    <t>RS13</t>
  </si>
  <si>
    <t>RS14</t>
  </si>
  <si>
    <t>RS15</t>
  </si>
  <si>
    <t>RS16</t>
  </si>
  <si>
    <t>RS17</t>
  </si>
  <si>
    <t>RS18</t>
  </si>
  <si>
    <t>RS19</t>
  </si>
  <si>
    <t>RS20</t>
  </si>
  <si>
    <t>RS21</t>
  </si>
  <si>
    <t>RS22</t>
  </si>
  <si>
    <t>RS23</t>
  </si>
  <si>
    <t>RS24</t>
  </si>
  <si>
    <t>RS25</t>
  </si>
  <si>
    <t>RS26</t>
  </si>
  <si>
    <t>County</t>
  </si>
  <si>
    <t>AB01-GA01</t>
  </si>
  <si>
    <t>AB02-GA01</t>
  </si>
  <si>
    <t xml:space="preserve"> ERAF  Total</t>
  </si>
  <si>
    <t xml:space="preserve"> City  Total</t>
  </si>
  <si>
    <t xml:space="preserve"> County  Total</t>
  </si>
  <si>
    <t xml:space="preserve"> Special Districts  Total</t>
  </si>
  <si>
    <t xml:space="preserve"> K-12 Tax  Total</t>
  </si>
  <si>
    <t xml:space="preserve"> K-12 Fac  Total</t>
  </si>
  <si>
    <t xml:space="preserve"> Comm Coll Tax  Total</t>
  </si>
  <si>
    <t xml:space="preserve"> Comm Coll Fac  Total</t>
  </si>
  <si>
    <t xml:space="preserve"> COE Tax  Total</t>
  </si>
  <si>
    <t xml:space="preserve"> COE Fac  Total</t>
  </si>
  <si>
    <t>Grand Total</t>
  </si>
  <si>
    <t>SU52-GA01</t>
  </si>
  <si>
    <t>BF05-GA01</t>
  </si>
  <si>
    <t>UD54-GA01</t>
  </si>
  <si>
    <t>UF01-GA02</t>
  </si>
  <si>
    <t>UF05-GA01</t>
  </si>
  <si>
    <t>UF20-GA01</t>
  </si>
  <si>
    <t>WC08-GI01</t>
  </si>
  <si>
    <t>WH04-GA01</t>
  </si>
  <si>
    <t>WY10-DA01</t>
  </si>
  <si>
    <t>WY10-GA01</t>
  </si>
  <si>
    <t>Note(s):</t>
  </si>
  <si>
    <r>
      <rPr>
        <b/>
        <u/>
        <sz val="11"/>
        <color indexed="10"/>
        <rFont val="Calibri"/>
        <family val="2"/>
      </rPr>
      <t>Pass-through payment estimates</t>
    </r>
    <r>
      <rPr>
        <sz val="11"/>
        <rFont val="Calibri"/>
        <family val="2"/>
      </rPr>
      <t xml:space="preserve"> include FY11-12 adjustments based on gross collections at FYE and the estimated FY12-13 pass-through estimates prorated for a 6 month period.</t>
    </r>
  </si>
  <si>
    <r>
      <rPr>
        <b/>
        <u/>
        <sz val="11"/>
        <color indexed="10"/>
        <rFont val="Calibri"/>
        <family val="2"/>
      </rPr>
      <t>Deposit estimates</t>
    </r>
    <r>
      <rPr>
        <sz val="11"/>
        <rFont val="Calibri"/>
        <family val="2"/>
      </rPr>
      <t xml:space="preserve"> were calculated by comparing FY12-13 RDA increment Assessed Values (AV) against FY11-12 values.  The AV percentage increase/decrease was applied to prior year property tax data along with an 8% delinquency factor.  FY12-13 revenue estimates were prorated by 47.03%.  Property tax collections for period 5/1/12 through 6/30/12 are included in the estimate.</t>
    </r>
  </si>
  <si>
    <t xml:space="preserve">EDUCATION REVENUE AUGMENTATION FUND </t>
  </si>
  <si>
    <t>CITY OF ADELANTO</t>
  </si>
  <si>
    <t>TOWN OF APPLE VALLEY</t>
  </si>
  <si>
    <t>CITY OF BARSTOW</t>
  </si>
  <si>
    <t>CITY OF BARSTOW-BARSTOW PARK - GTL</t>
  </si>
  <si>
    <t>CITY OF BIG BEAR LAKE</t>
  </si>
  <si>
    <t>CITY OF CHINO</t>
  </si>
  <si>
    <t>CITY OF COLTON</t>
  </si>
  <si>
    <t>CITY OF FONTANA</t>
  </si>
  <si>
    <t>CITY OF GRAND TERRACE</t>
  </si>
  <si>
    <t>CITY OF HIGHLAND</t>
  </si>
  <si>
    <t>CITY OF LOMA LINDA</t>
  </si>
  <si>
    <t>CITY OF HESPERIA</t>
  </si>
  <si>
    <t>CITY OF MONTCLAIR</t>
  </si>
  <si>
    <t>CITY OF ONTARIO</t>
  </si>
  <si>
    <t>CITY OF RANCHO CUCAMONGA</t>
  </si>
  <si>
    <t>CITY OF REDLANDS-DEBT SERVICE MEASURE "O" BONDS</t>
  </si>
  <si>
    <t>CITY OF REDLANDS</t>
  </si>
  <si>
    <t>CITY OF RIALTO</t>
  </si>
  <si>
    <t>CITY OF SAN BERNARDINO</t>
  </si>
  <si>
    <t>CITY OF UPLAND</t>
  </si>
  <si>
    <t>CITY OF VICTORVILLE</t>
  </si>
  <si>
    <t>COUNTY GENERAL FUND</t>
  </si>
  <si>
    <t>FLOOD CONTROL ZONE 1</t>
  </si>
  <si>
    <t>FLOOD CONTROL ZONE 2</t>
  </si>
  <si>
    <t>FLOOD CONTROL ZONE 3</t>
  </si>
  <si>
    <t>FLOOD CONTROL ZONE 4</t>
  </si>
  <si>
    <t>FLOOD CONTROL ZONE 5</t>
  </si>
  <si>
    <t>FLOOD CONTROL ZONE 6</t>
  </si>
  <si>
    <t>FLOOD CONTROL ADMIN 1 &amp; 2</t>
  </si>
  <si>
    <t>FLOOD CONTROL ADMIN 3-6</t>
  </si>
  <si>
    <t>COUNTY FREE LIBRARY</t>
  </si>
  <si>
    <t>BIG BEAR LAKE FIRE DISTRICT</t>
  </si>
  <si>
    <t>FONTANA FIRE PROTECTION DISTRICT</t>
  </si>
  <si>
    <t>HESPERIA FIRE PROTECTION DISTRICT</t>
  </si>
  <si>
    <t>HESPERIA WATER DISTRICT</t>
  </si>
  <si>
    <t>RANCHO CUCAMONGA FIRE DISTRICT</t>
  </si>
  <si>
    <t>VICTORVILLE WATER DISTRICT IMP DIST 1</t>
  </si>
  <si>
    <t>VICTORVILLE WATER DISTRICT IMP DIST 2</t>
  </si>
  <si>
    <t>VICTORVILLE STREET LIGHT DISTRICT L &amp; I</t>
  </si>
  <si>
    <t>CSA 40 - ELEPHANT MOUNTAIN</t>
  </si>
  <si>
    <t>CSA 42 - ORO GRANDE</t>
  </si>
  <si>
    <t>CSA 60 - VICTORVILLE</t>
  </si>
  <si>
    <t>CSA 64 - SPRING VLY LAKE</t>
  </si>
  <si>
    <t>CSA 70 ZONE D-1 - LAKE ARROWHEAD</t>
  </si>
  <si>
    <t>CSA SL-1</t>
  </si>
  <si>
    <t>SAN BDNO CNTY FIRE PROTECT DISTRICT-VALLEY SERVICE AREA</t>
  </si>
  <si>
    <t>SAN BDNO CNTY FIRE PROTECT DISTRICT-MOUNTAIN SERVICE AREA</t>
  </si>
  <si>
    <t>SAN BDNO CNTY FIRE PROTECT DISTRICT-NORTH DESERT SERVICE AREA</t>
  </si>
  <si>
    <t>SAN BDNO CNTY FIRE PROTECT DISTRICT-SOUTH DESERT SERVICE AREA</t>
  </si>
  <si>
    <t>SAN BDNO CNTY FIRE PROTECT DISTRICT-SBCFPD-ADMIN</t>
  </si>
  <si>
    <t>BIG BEAR VALLEY PARK &amp; REC DIST</t>
  </si>
  <si>
    <t>BARSTOW CEMETERY DISTRICT</t>
  </si>
  <si>
    <t>29 PALMS CEMETERY DISTRICT</t>
  </si>
  <si>
    <t>BARSTOW FIRE PROTECTION DISTRICT</t>
  </si>
  <si>
    <t>HESPERIA PARK DISTRICT</t>
  </si>
  <si>
    <t>BIG BEAR CITY AIRPORT DISTRICT</t>
  </si>
  <si>
    <t>LAKE ARROWHEAD CSD L &amp; I</t>
  </si>
  <si>
    <t>APPLE VALLEY FIRE PROTECTION DIST</t>
  </si>
  <si>
    <t>CHINO VALLEY INDEPENDENT FIRE DIST INCORPORATED ARE</t>
  </si>
  <si>
    <t>CHINO VALLEY INDEPENDENT FIRE DIST CHINO AREA</t>
  </si>
  <si>
    <t>BEAR VALLEY COMM HOSP DISTRICT</t>
  </si>
  <si>
    <t>HI-DESERT MEMORIAL HOSPITAL DIS</t>
  </si>
  <si>
    <t>SAN BERNARDINO MTS COMM HOSP DIST</t>
  </si>
  <si>
    <t>RIVERSIDE CORONA RCD L O</t>
  </si>
  <si>
    <t>MOJAVE DESERT RESOURCE CONS DIST L O</t>
  </si>
  <si>
    <t>INLAND EMPIRE JT RESOURCE CONS DIST L O</t>
  </si>
  <si>
    <t>SAN BDNO VALLEY WATER CONS DIST - L O</t>
  </si>
  <si>
    <t>CHINO BASIN WTR CONSERVATION DIST L O</t>
  </si>
  <si>
    <t>BIG BEAR MUNICIPAL WATER DIST</t>
  </si>
  <si>
    <t>INLAND EMPIRE UTILITIES AGENCY ORIGINAL</t>
  </si>
  <si>
    <t>INLAND EMPIRE UTILITIES AGENCY MID-VLY</t>
  </si>
  <si>
    <t>INLAND EMPIRE UTILITIES AGENCY IMP C</t>
  </si>
  <si>
    <t>SAN BERNARDINO VALLEY MUNI WATER-DEBT SERVICE</t>
  </si>
  <si>
    <t>SAN BERNARDINO VALLEY MUNI WATER</t>
  </si>
  <si>
    <t>HI-DESERT CO WATER DISTRICT</t>
  </si>
  <si>
    <t>MONTE VISTA CO WTR DISTRICT</t>
  </si>
  <si>
    <t>WEST VALLEY WATER DISTRICT</t>
  </si>
  <si>
    <t>CRESTLINE-LAKE ARROWHEAD WTR AGENCY-CLAWA DWR CONTRACT-SWP</t>
  </si>
  <si>
    <t>CRESTLINE-LAKE ARROWHEAD WTR AGENCY</t>
  </si>
  <si>
    <t>METROPOLITAN WATER AGENCY-DEBT SERVICE ORIGINAL</t>
  </si>
  <si>
    <t>METROPOLITAN WATER AGENCY-DEBT SERVICE MID-VLY</t>
  </si>
  <si>
    <t>MOJAVE WATER AGENCY L &amp; I</t>
  </si>
  <si>
    <t>ADELANTO ELEMENTARY SCHOOL DISTRICT</t>
  </si>
  <si>
    <t>CENTRAL ELEMENTARY SCHOOL DISTRICT</t>
  </si>
  <si>
    <t>CUCAMONGA ELEMENTARY SCHOOL DIST</t>
  </si>
  <si>
    <t>ETIWANDA ELEMENTARY SCHOOL DISTRICT</t>
  </si>
  <si>
    <t>MOUNTAIN VIEW ELEMENTARY SCH DIST</t>
  </si>
  <si>
    <t>ONTARIO-MONTCLAIR ELEM SCH DIST</t>
  </si>
  <si>
    <t>ORO GRANDE ELEMENTARY SCHOOL DIST</t>
  </si>
  <si>
    <t>VICTOR ELEMENTARY SCHOOL DISTRICT</t>
  </si>
  <si>
    <t>CHAFFEY JOINT UNION HIGH SCH DIST</t>
  </si>
  <si>
    <t>VICTOR VALLEY UNION HIGH SCH DIST</t>
  </si>
  <si>
    <t>APPLE VALLEY UNIFIED SCHOOL DIST</t>
  </si>
  <si>
    <t>BARSTOW UNIFIED SCHOOL DISTRICT</t>
  </si>
  <si>
    <t>BEAR VALLEY UNIFIED SCHOOL DISTRICT</t>
  </si>
  <si>
    <t>CHINO VALLEY UNIFIED SCHOOL DIST</t>
  </si>
  <si>
    <t>COLTON JOINT UNIFIED SCHOOL DIST</t>
  </si>
  <si>
    <t>FONTANA UNIFIED SCHOOL DISTRICT</t>
  </si>
  <si>
    <t>HESPERIA UNIFIED SCHOOL DISTRICT</t>
  </si>
  <si>
    <t>MORONGO UNIFIED SCHOOL DISTRICT</t>
  </si>
  <si>
    <t>REDLANDS UNIFIED SCHOOL DISTRICT</t>
  </si>
  <si>
    <t>RIALTO UNIFIED SCHOOL DISTRICT</t>
  </si>
  <si>
    <t>RIM OF THE WORLD UNIFIED SCH DIST</t>
  </si>
  <si>
    <t>SAN BERNARDINO CITY UNIFIED SCH DIS</t>
  </si>
  <si>
    <t>SNOWLINE JOINT UNIFIED SCHOOL DIST</t>
  </si>
  <si>
    <t>UPLAND UNIFIED</t>
  </si>
  <si>
    <t>YUCAIPA-CALIMESA JOINT UNIFIED</t>
  </si>
  <si>
    <t>BARSTOW COMMUNITY COLLEGE</t>
  </si>
  <si>
    <t>CHAFFEY COMMUNITY COLLEGE</t>
  </si>
  <si>
    <t>COPPER MOUNTAIN COMM COLL DISTRICT</t>
  </si>
  <si>
    <t>SAN BERNARDINO COMMUNITY COLLEGE</t>
  </si>
  <si>
    <t>VICTOR VALLEY COMMUNITY COLLEGE</t>
  </si>
  <si>
    <t>SUPERINTENDENT OF SCHOOLS - COUNTY WIDE</t>
  </si>
  <si>
    <t>SUPERINTENDENT OF SCHOOLS - R O P</t>
  </si>
  <si>
    <t>SUPERINTENDENT OF SCHOOLS - PHYS HAND</t>
  </si>
  <si>
    <t>SUPERINTENDENT OF SCHOOLS - MENT RET</t>
  </si>
  <si>
    <t>SUPERINTENDENT OF SCHOOLS - DEV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</si>
</sst>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0_)"/>
    <numFmt numFmtId="166" formatCode="#,##0_);[Red]\(#,##0_)"/>
    <numFmt numFmtId="167" formatCode="#,##0.0000_);[Red]\(#,##0.0000\)"/>
    <numFmt numFmtId="168" formatCode="#,##0_ &quot;m2&quot;"/>
    <numFmt numFmtId="169" formatCode="#,##0_ &quot;Ptas&quot;"/>
    <numFmt numFmtId="174" formatCode="_(* #,##0.0_);_(* \(#,##0.0\);_(* &quot;-&quot;??_);_(@_)"/>
  </numFmts>
  <fonts count="58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Verdana"/>
      <family val="2"/>
    </font>
    <font>
      <sz val="12"/>
      <name val="TimesNewRomanPS"/>
    </font>
    <font>
      <sz val="11"/>
      <color indexed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Geneva"/>
      <family val="2"/>
    </font>
    <font>
      <sz val="10"/>
      <name val="Helv"/>
    </font>
    <font>
      <b/>
      <sz val="9"/>
      <name val="Arial"/>
      <family val="2"/>
    </font>
    <font>
      <u/>
      <sz val="12"/>
      <color indexed="12"/>
      <name val="Courier"/>
      <family val="3"/>
    </font>
    <font>
      <u/>
      <sz val="8.5"/>
      <color indexed="12"/>
      <name val="Arial"/>
      <family val="2"/>
    </font>
    <font>
      <sz val="12"/>
      <name val="Courier"/>
      <family val="3"/>
    </font>
    <font>
      <sz val="9"/>
      <name val="Arial Narrow"/>
      <family val="2"/>
    </font>
    <font>
      <sz val="10"/>
      <name val="Arial MT"/>
    </font>
    <font>
      <b/>
      <sz val="12"/>
      <name val="Arial"/>
      <family val="2"/>
    </font>
    <font>
      <sz val="10"/>
      <color indexed="10"/>
      <name val="Helv"/>
    </font>
    <font>
      <sz val="12"/>
      <color indexed="8"/>
      <name val="Arial Narrow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2"/>
      <name val="Courier"/>
      <family val="3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u/>
      <sz val="11"/>
      <color indexed="10"/>
      <name val="Calibri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942">
    <xf numFmtId="0" fontId="0" fillId="0" borderId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3" fillId="0" borderId="0">
      <alignment horizontal="right"/>
    </xf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38" fillId="26" borderId="0" applyNumberFormat="0" applyBorder="0" applyAlignment="0" applyProtection="0"/>
    <xf numFmtId="0" fontId="38" fillId="27" borderId="0" applyNumberFormat="0" applyBorder="0" applyAlignment="0" applyProtection="0"/>
    <xf numFmtId="0" fontId="38" fillId="28" borderId="0" applyNumberFormat="0" applyBorder="0" applyAlignment="0" applyProtection="0"/>
    <xf numFmtId="168" fontId="13" fillId="0" borderId="0"/>
    <xf numFmtId="0" fontId="39" fillId="29" borderId="0" applyNumberFormat="0" applyBorder="0" applyAlignment="0" applyProtection="0"/>
    <xf numFmtId="0" fontId="14" fillId="0" borderId="0" applyNumberFormat="0" applyFill="0" applyBorder="0" applyAlignment="0" applyProtection="0">
      <alignment horizontal="left"/>
    </xf>
    <xf numFmtId="0" fontId="40" fillId="30" borderId="5" applyNumberFormat="0" applyAlignment="0" applyProtection="0"/>
    <xf numFmtId="0" fontId="41" fillId="31" borderId="6" applyNumberFormat="0" applyAlignment="0" applyProtection="0"/>
    <xf numFmtId="0" fontId="10" fillId="0" borderId="0" applyNumberFormat="0" applyFill="0" applyBorder="0" applyProtection="0">
      <alignment horizontal="center" vertical="center"/>
    </xf>
    <xf numFmtId="43" fontId="26" fillId="0" borderId="0" applyFont="0" applyFill="0" applyBorder="0" applyAlignment="0" applyProtection="0"/>
    <xf numFmtId="39" fontId="13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9" fontId="5" fillId="0" borderId="0" applyFont="0" applyFill="0" applyBorder="0" applyProtection="0"/>
    <xf numFmtId="39" fontId="5" fillId="0" borderId="0" applyFont="0" applyFill="0" applyBorder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7" fontId="13" fillId="0" borderId="0" applyFont="0" applyFill="0" applyBorder="0" applyAlignment="0" applyProtection="0"/>
    <xf numFmtId="169" fontId="13" fillId="0" borderId="0"/>
    <xf numFmtId="44" fontId="4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12" fillId="0" borderId="0" applyFont="0" applyFill="0" applyBorder="0" applyAlignment="0" applyProtection="0"/>
    <xf numFmtId="0" fontId="43" fillId="32" borderId="0" applyNumberFormat="0" applyBorder="0" applyAlignment="0" applyProtection="0"/>
    <xf numFmtId="0" fontId="44" fillId="0" borderId="7" applyNumberFormat="0" applyFill="0" applyAlignment="0" applyProtection="0"/>
    <xf numFmtId="0" fontId="45" fillId="0" borderId="8" applyNumberFormat="0" applyFill="0" applyAlignment="0" applyProtection="0"/>
    <xf numFmtId="0" fontId="46" fillId="0" borderId="9" applyNumberFormat="0" applyFill="0" applyAlignment="0" applyProtection="0"/>
    <xf numFmtId="0" fontId="46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49" fillId="33" borderId="5" applyNumberFormat="0" applyAlignment="0" applyProtection="0"/>
    <xf numFmtId="0" fontId="50" fillId="0" borderId="10" applyNumberFormat="0" applyFill="0" applyAlignment="0" applyProtection="0"/>
    <xf numFmtId="0" fontId="51" fillId="34" borderId="0" applyNumberFormat="0" applyBorder="0" applyAlignment="0" applyProtection="0"/>
    <xf numFmtId="166" fontId="13" fillId="0" borderId="0"/>
    <xf numFmtId="0" fontId="52" fillId="0" borderId="0"/>
    <xf numFmtId="165" fontId="5" fillId="0" borderId="0"/>
    <xf numFmtId="165" fontId="5" fillId="0" borderId="0"/>
    <xf numFmtId="0" fontId="52" fillId="0" borderId="0"/>
    <xf numFmtId="0" fontId="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" fillId="0" borderId="0"/>
    <xf numFmtId="40" fontId="5" fillId="0" borderId="0"/>
    <xf numFmtId="40" fontId="5" fillId="0" borderId="0"/>
    <xf numFmtId="0" fontId="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40" fontId="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40" fontId="5" fillId="0" borderId="0"/>
    <xf numFmtId="40" fontId="5" fillId="0" borderId="0"/>
    <xf numFmtId="40" fontId="5" fillId="0" borderId="0"/>
    <xf numFmtId="0" fontId="17" fillId="0" borderId="0"/>
    <xf numFmtId="40" fontId="5" fillId="0" borderId="0"/>
    <xf numFmtId="0" fontId="5" fillId="0" borderId="0"/>
    <xf numFmtId="0" fontId="37" fillId="0" borderId="0"/>
    <xf numFmtId="0" fontId="5" fillId="0" borderId="0"/>
    <xf numFmtId="0" fontId="5" fillId="0" borderId="0"/>
    <xf numFmtId="0" fontId="3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0" fontId="5" fillId="0" borderId="0"/>
    <xf numFmtId="40" fontId="5" fillId="0" borderId="0"/>
    <xf numFmtId="0" fontId="5" fillId="0" borderId="0"/>
    <xf numFmtId="40" fontId="5" fillId="0" borderId="0"/>
    <xf numFmtId="40" fontId="5" fillId="0" borderId="0"/>
    <xf numFmtId="0" fontId="5" fillId="0" borderId="0"/>
    <xf numFmtId="0" fontId="17" fillId="0" borderId="0"/>
    <xf numFmtId="0" fontId="17" fillId="0" borderId="0"/>
    <xf numFmtId="0" fontId="17" fillId="0" borderId="0"/>
    <xf numFmtId="40" fontId="5" fillId="0" borderId="0"/>
    <xf numFmtId="40" fontId="5" fillId="0" borderId="0"/>
    <xf numFmtId="0" fontId="11" fillId="0" borderId="0"/>
    <xf numFmtId="0" fontId="5" fillId="0" borderId="0"/>
    <xf numFmtId="0" fontId="5" fillId="0" borderId="0"/>
    <xf numFmtId="40" fontId="5" fillId="0" borderId="0"/>
    <xf numFmtId="40" fontId="5" fillId="0" borderId="0"/>
    <xf numFmtId="0" fontId="5" fillId="0" borderId="0"/>
    <xf numFmtId="0" fontId="52" fillId="0" borderId="0"/>
    <xf numFmtId="40" fontId="5" fillId="0" borderId="0"/>
    <xf numFmtId="40" fontId="5" fillId="0" borderId="0"/>
    <xf numFmtId="0" fontId="36" fillId="0" borderId="0"/>
    <xf numFmtId="0" fontId="52" fillId="0" borderId="0"/>
    <xf numFmtId="40" fontId="5" fillId="0" borderId="0"/>
    <xf numFmtId="40" fontId="5" fillId="0" borderId="0"/>
    <xf numFmtId="0" fontId="5" fillId="0" borderId="0"/>
    <xf numFmtId="0" fontId="5" fillId="0" borderId="0"/>
    <xf numFmtId="40" fontId="5" fillId="0" borderId="0"/>
    <xf numFmtId="40" fontId="5" fillId="0" borderId="0"/>
    <xf numFmtId="40" fontId="5" fillId="0" borderId="0"/>
    <xf numFmtId="0" fontId="5" fillId="0" borderId="0"/>
    <xf numFmtId="0" fontId="5" fillId="0" borderId="0"/>
    <xf numFmtId="40" fontId="5" fillId="0" borderId="0"/>
    <xf numFmtId="40" fontId="5" fillId="0" borderId="0"/>
    <xf numFmtId="40" fontId="5" fillId="0" borderId="0"/>
    <xf numFmtId="40" fontId="5" fillId="0" borderId="0"/>
    <xf numFmtId="40" fontId="5" fillId="0" borderId="0"/>
    <xf numFmtId="40" fontId="5" fillId="0" borderId="0"/>
    <xf numFmtId="40" fontId="5" fillId="0" borderId="0"/>
    <xf numFmtId="0" fontId="36" fillId="0" borderId="0"/>
    <xf numFmtId="40" fontId="5" fillId="0" borderId="0"/>
    <xf numFmtId="40" fontId="5" fillId="0" borderId="0"/>
    <xf numFmtId="0" fontId="5" fillId="0" borderId="0"/>
    <xf numFmtId="0" fontId="5" fillId="0" borderId="0"/>
    <xf numFmtId="0" fontId="5" fillId="0" borderId="0"/>
    <xf numFmtId="0" fontId="3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5" fillId="0" borderId="0"/>
    <xf numFmtId="40" fontId="5" fillId="0" borderId="0"/>
    <xf numFmtId="0" fontId="37" fillId="0" borderId="0"/>
    <xf numFmtId="0" fontId="37" fillId="0" borderId="0"/>
    <xf numFmtId="0" fontId="53" fillId="0" borderId="0"/>
    <xf numFmtId="0" fontId="37" fillId="0" borderId="0"/>
    <xf numFmtId="0" fontId="37" fillId="0" borderId="0"/>
    <xf numFmtId="0" fontId="53" fillId="0" borderId="0"/>
    <xf numFmtId="0" fontId="37" fillId="0" borderId="0"/>
    <xf numFmtId="40" fontId="5" fillId="0" borderId="0"/>
    <xf numFmtId="40" fontId="5" fillId="0" borderId="0"/>
    <xf numFmtId="40" fontId="5" fillId="0" borderId="0"/>
    <xf numFmtId="40" fontId="5" fillId="0" borderId="0"/>
    <xf numFmtId="40" fontId="25" fillId="0" borderId="0"/>
    <xf numFmtId="40" fontId="5" fillId="0" borderId="0"/>
    <xf numFmtId="0" fontId="37" fillId="0" borderId="0"/>
    <xf numFmtId="40" fontId="5" fillId="0" borderId="0"/>
    <xf numFmtId="40" fontId="5" fillId="0" borderId="0"/>
    <xf numFmtId="40" fontId="5" fillId="0" borderId="0"/>
    <xf numFmtId="40" fontId="5" fillId="0" borderId="0"/>
    <xf numFmtId="40" fontId="5" fillId="0" borderId="0"/>
    <xf numFmtId="40" fontId="25" fillId="0" borderId="0"/>
    <xf numFmtId="40" fontId="5" fillId="0" borderId="0"/>
    <xf numFmtId="0" fontId="37" fillId="0" borderId="0"/>
    <xf numFmtId="40" fontId="5" fillId="0" borderId="0"/>
    <xf numFmtId="40" fontId="5" fillId="0" borderId="0"/>
    <xf numFmtId="40" fontId="5" fillId="0" borderId="0"/>
    <xf numFmtId="40" fontId="5" fillId="0" borderId="0"/>
    <xf numFmtId="40" fontId="25" fillId="0" borderId="0"/>
    <xf numFmtId="40" fontId="5" fillId="0" borderId="0"/>
    <xf numFmtId="0" fontId="37" fillId="0" borderId="0"/>
    <xf numFmtId="40" fontId="5" fillId="0" borderId="0"/>
    <xf numFmtId="40" fontId="5" fillId="0" borderId="0"/>
    <xf numFmtId="40" fontId="5" fillId="0" borderId="0"/>
    <xf numFmtId="40" fontId="5" fillId="0" borderId="0"/>
    <xf numFmtId="40" fontId="5" fillId="0" borderId="0"/>
    <xf numFmtId="40" fontId="25" fillId="0" borderId="0"/>
    <xf numFmtId="40" fontId="5" fillId="0" borderId="0"/>
    <xf numFmtId="0" fontId="37" fillId="0" borderId="0"/>
    <xf numFmtId="40" fontId="5" fillId="0" borderId="0"/>
    <xf numFmtId="40" fontId="5" fillId="0" borderId="0"/>
    <xf numFmtId="40" fontId="5" fillId="0" borderId="0"/>
    <xf numFmtId="40" fontId="5" fillId="0" borderId="0"/>
    <xf numFmtId="40" fontId="25" fillId="0" borderId="0"/>
    <xf numFmtId="40" fontId="5" fillId="0" borderId="0"/>
    <xf numFmtId="0" fontId="37" fillId="0" borderId="0"/>
    <xf numFmtId="40" fontId="5" fillId="0" borderId="0"/>
    <xf numFmtId="40" fontId="5" fillId="0" borderId="0"/>
    <xf numFmtId="40" fontId="5" fillId="0" borderId="0"/>
    <xf numFmtId="40" fontId="5" fillId="0" borderId="0"/>
    <xf numFmtId="40" fontId="5" fillId="0" borderId="0"/>
    <xf numFmtId="40" fontId="25" fillId="0" borderId="0"/>
    <xf numFmtId="40" fontId="5" fillId="0" borderId="0"/>
    <xf numFmtId="0" fontId="37" fillId="0" borderId="0"/>
    <xf numFmtId="40" fontId="5" fillId="0" borderId="0"/>
    <xf numFmtId="40" fontId="5" fillId="0" borderId="0"/>
    <xf numFmtId="40" fontId="5" fillId="0" borderId="0"/>
    <xf numFmtId="40" fontId="5" fillId="0" borderId="0"/>
    <xf numFmtId="40" fontId="25" fillId="0" borderId="0"/>
    <xf numFmtId="40" fontId="5" fillId="0" borderId="0"/>
    <xf numFmtId="0" fontId="37" fillId="0" borderId="0"/>
    <xf numFmtId="40" fontId="5" fillId="0" borderId="0"/>
    <xf numFmtId="40" fontId="5" fillId="0" borderId="0"/>
    <xf numFmtId="40" fontId="5" fillId="0" borderId="0"/>
    <xf numFmtId="40" fontId="5" fillId="0" borderId="0"/>
    <xf numFmtId="40" fontId="5" fillId="0" borderId="0"/>
    <xf numFmtId="40" fontId="25" fillId="0" borderId="0"/>
    <xf numFmtId="40" fontId="5" fillId="0" borderId="0"/>
    <xf numFmtId="0" fontId="37" fillId="0" borderId="0"/>
    <xf numFmtId="40" fontId="5" fillId="0" borderId="0"/>
    <xf numFmtId="40" fontId="5" fillId="0" borderId="0"/>
    <xf numFmtId="40" fontId="5" fillId="0" borderId="0"/>
    <xf numFmtId="40" fontId="5" fillId="0" borderId="0"/>
    <xf numFmtId="40" fontId="25" fillId="0" borderId="0"/>
    <xf numFmtId="40" fontId="5" fillId="0" borderId="0"/>
    <xf numFmtId="0" fontId="37" fillId="0" borderId="0"/>
    <xf numFmtId="40" fontId="5" fillId="0" borderId="0"/>
    <xf numFmtId="40" fontId="5" fillId="0" borderId="0"/>
    <xf numFmtId="40" fontId="5" fillId="0" borderId="0"/>
    <xf numFmtId="40" fontId="5" fillId="0" borderId="0"/>
    <xf numFmtId="40" fontId="5" fillId="0" borderId="0"/>
    <xf numFmtId="40" fontId="25" fillId="0" borderId="0"/>
    <xf numFmtId="40" fontId="5" fillId="0" borderId="0"/>
    <xf numFmtId="0" fontId="37" fillId="0" borderId="0"/>
    <xf numFmtId="40" fontId="5" fillId="0" borderId="0"/>
    <xf numFmtId="40" fontId="5" fillId="0" borderId="0"/>
    <xf numFmtId="40" fontId="5" fillId="0" borderId="0"/>
    <xf numFmtId="40" fontId="5" fillId="0" borderId="0"/>
    <xf numFmtId="40" fontId="25" fillId="0" borderId="0"/>
    <xf numFmtId="40" fontId="5" fillId="0" borderId="0"/>
    <xf numFmtId="0" fontId="37" fillId="0" borderId="0"/>
    <xf numFmtId="40" fontId="5" fillId="0" borderId="0"/>
    <xf numFmtId="40" fontId="5" fillId="0" borderId="0"/>
    <xf numFmtId="40" fontId="5" fillId="0" borderId="0"/>
    <xf numFmtId="40" fontId="5" fillId="0" borderId="0"/>
    <xf numFmtId="40" fontId="5" fillId="0" borderId="0"/>
    <xf numFmtId="40" fontId="25" fillId="0" borderId="0"/>
    <xf numFmtId="40" fontId="5" fillId="0" borderId="0"/>
    <xf numFmtId="0" fontId="37" fillId="0" borderId="0"/>
    <xf numFmtId="40" fontId="5" fillId="0" borderId="0"/>
    <xf numFmtId="40" fontId="5" fillId="0" borderId="0"/>
    <xf numFmtId="40" fontId="5" fillId="0" borderId="0"/>
    <xf numFmtId="40" fontId="5" fillId="0" borderId="0"/>
    <xf numFmtId="40" fontId="25" fillId="0" borderId="0"/>
    <xf numFmtId="40" fontId="5" fillId="0" borderId="0"/>
    <xf numFmtId="0" fontId="37" fillId="0" borderId="0"/>
    <xf numFmtId="40" fontId="5" fillId="0" borderId="0"/>
    <xf numFmtId="40" fontId="5" fillId="0" borderId="0"/>
    <xf numFmtId="40" fontId="5" fillId="0" borderId="0"/>
    <xf numFmtId="40" fontId="5" fillId="0" borderId="0"/>
    <xf numFmtId="40" fontId="5" fillId="0" borderId="0"/>
    <xf numFmtId="40" fontId="25" fillId="0" borderId="0"/>
    <xf numFmtId="40" fontId="5" fillId="0" borderId="0"/>
    <xf numFmtId="0" fontId="5" fillId="0" borderId="0"/>
    <xf numFmtId="0" fontId="5" fillId="0" borderId="0"/>
    <xf numFmtId="40" fontId="5" fillId="0" borderId="0"/>
    <xf numFmtId="40" fontId="5" fillId="0" borderId="0"/>
    <xf numFmtId="40" fontId="5" fillId="0" borderId="0"/>
    <xf numFmtId="40" fontId="5" fillId="0" borderId="0"/>
    <xf numFmtId="40" fontId="5" fillId="0" borderId="0"/>
    <xf numFmtId="40" fontId="25" fillId="0" borderId="0"/>
    <xf numFmtId="40" fontId="5" fillId="0" borderId="0"/>
    <xf numFmtId="0" fontId="5" fillId="0" borderId="0"/>
    <xf numFmtId="0" fontId="5" fillId="0" borderId="0"/>
    <xf numFmtId="0" fontId="5" fillId="0" borderId="0"/>
    <xf numFmtId="40" fontId="5" fillId="0" borderId="0"/>
    <xf numFmtId="40" fontId="5" fillId="0" borderId="0"/>
    <xf numFmtId="40" fontId="5" fillId="0" borderId="0"/>
    <xf numFmtId="40" fontId="5" fillId="0" borderId="0"/>
    <xf numFmtId="40" fontId="5" fillId="0" borderId="0"/>
    <xf numFmtId="40" fontId="25" fillId="0" borderId="0"/>
    <xf numFmtId="40" fontId="5" fillId="0" borderId="0"/>
    <xf numFmtId="0" fontId="25" fillId="0" borderId="0"/>
    <xf numFmtId="0" fontId="5" fillId="0" borderId="0"/>
    <xf numFmtId="0" fontId="37" fillId="0" borderId="0"/>
    <xf numFmtId="40" fontId="5" fillId="0" borderId="0"/>
    <xf numFmtId="40" fontId="5" fillId="0" borderId="0"/>
    <xf numFmtId="40" fontId="5" fillId="0" borderId="0"/>
    <xf numFmtId="40" fontId="5" fillId="0" borderId="0"/>
    <xf numFmtId="0" fontId="37" fillId="0" borderId="0"/>
    <xf numFmtId="40" fontId="5" fillId="0" borderId="0"/>
    <xf numFmtId="40" fontId="5" fillId="0" borderId="0"/>
    <xf numFmtId="40" fontId="5" fillId="0" borderId="0"/>
    <xf numFmtId="40" fontId="5" fillId="0" borderId="0"/>
    <xf numFmtId="40" fontId="5" fillId="0" borderId="0"/>
    <xf numFmtId="40" fontId="5" fillId="0" borderId="0"/>
    <xf numFmtId="0" fontId="5" fillId="0" borderId="0"/>
    <xf numFmtId="0" fontId="5" fillId="0" borderId="0"/>
    <xf numFmtId="40" fontId="5" fillId="0" borderId="0"/>
    <xf numFmtId="40" fontId="5" fillId="0" borderId="0"/>
    <xf numFmtId="40" fontId="5" fillId="0" borderId="0"/>
    <xf numFmtId="40" fontId="5" fillId="0" borderId="0"/>
    <xf numFmtId="40" fontId="5" fillId="0" borderId="0"/>
    <xf numFmtId="0" fontId="3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7" fillId="0" borderId="0"/>
    <xf numFmtId="4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7" fillId="0" borderId="0"/>
    <xf numFmtId="4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7" fillId="0" borderId="0"/>
    <xf numFmtId="4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7" fillId="0" borderId="0"/>
    <xf numFmtId="4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38" fontId="19" fillId="0" borderId="0"/>
    <xf numFmtId="41" fontId="18" fillId="0" borderId="0"/>
    <xf numFmtId="40" fontId="5" fillId="0" borderId="0"/>
    <xf numFmtId="40" fontId="5" fillId="0" borderId="0"/>
    <xf numFmtId="39" fontId="5" fillId="0" borderId="0"/>
    <xf numFmtId="0" fontId="5" fillId="0" borderId="0"/>
    <xf numFmtId="39" fontId="5" fillId="0" borderId="0"/>
    <xf numFmtId="39" fontId="5" fillId="0" borderId="0"/>
    <xf numFmtId="0" fontId="5" fillId="0" borderId="0"/>
    <xf numFmtId="0" fontId="37" fillId="0" borderId="0"/>
    <xf numFmtId="0" fontId="5" fillId="0" borderId="0"/>
    <xf numFmtId="0" fontId="5" fillId="0" borderId="0"/>
    <xf numFmtId="0" fontId="3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vertical="top"/>
    </xf>
    <xf numFmtId="0" fontId="1" fillId="0" borderId="0">
      <alignment vertical="top"/>
    </xf>
    <xf numFmtId="0" fontId="5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37" fillId="0" borderId="0"/>
    <xf numFmtId="0" fontId="8" fillId="0" borderId="0"/>
    <xf numFmtId="0" fontId="8" fillId="0" borderId="0"/>
    <xf numFmtId="0" fontId="5" fillId="0" borderId="0"/>
    <xf numFmtId="0" fontId="3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1" fillId="0" borderId="0">
      <alignment vertical="top"/>
    </xf>
    <xf numFmtId="0" fontId="1" fillId="0" borderId="0">
      <alignment vertical="top"/>
    </xf>
    <xf numFmtId="0" fontId="5" fillId="0" borderId="0"/>
    <xf numFmtId="0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0" fontId="5" fillId="0" borderId="0"/>
    <xf numFmtId="0" fontId="1" fillId="0" borderId="0">
      <alignment vertical="top"/>
    </xf>
    <xf numFmtId="0" fontId="1" fillId="0" borderId="0">
      <alignment vertical="top"/>
    </xf>
    <xf numFmtId="0" fontId="5" fillId="0" borderId="0"/>
    <xf numFmtId="0" fontId="37" fillId="0" borderId="0"/>
    <xf numFmtId="165" fontId="5" fillId="0" borderId="0"/>
    <xf numFmtId="165" fontId="5" fillId="0" borderId="0"/>
    <xf numFmtId="0" fontId="37" fillId="0" borderId="0"/>
    <xf numFmtId="0" fontId="1" fillId="0" borderId="0">
      <alignment vertical="top"/>
    </xf>
    <xf numFmtId="39" fontId="5" fillId="0" borderId="0"/>
    <xf numFmtId="0" fontId="37" fillId="0" borderId="0"/>
    <xf numFmtId="0" fontId="5" fillId="0" borderId="0"/>
    <xf numFmtId="0" fontId="5" fillId="0" borderId="0"/>
    <xf numFmtId="39" fontId="5" fillId="0" borderId="0"/>
    <xf numFmtId="39" fontId="5" fillId="0" borderId="0"/>
    <xf numFmtId="39" fontId="5" fillId="0" borderId="0"/>
    <xf numFmtId="0" fontId="1" fillId="0" borderId="0">
      <alignment vertical="top"/>
    </xf>
    <xf numFmtId="0" fontId="1" fillId="0" borderId="0">
      <alignment vertical="top"/>
    </xf>
    <xf numFmtId="0" fontId="37" fillId="0" borderId="0"/>
    <xf numFmtId="41" fontId="18" fillId="0" borderId="0"/>
    <xf numFmtId="41" fontId="18" fillId="0" borderId="0"/>
    <xf numFmtId="0" fontId="17" fillId="0" borderId="0"/>
    <xf numFmtId="0" fontId="1" fillId="0" borderId="0">
      <alignment vertical="top"/>
    </xf>
    <xf numFmtId="39" fontId="5" fillId="0" borderId="0"/>
    <xf numFmtId="0" fontId="37" fillId="0" borderId="0"/>
    <xf numFmtId="4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7" fillId="0" borderId="0"/>
    <xf numFmtId="4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7" fillId="0" borderId="0"/>
    <xf numFmtId="0" fontId="37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23" fillId="0" borderId="0"/>
    <xf numFmtId="0" fontId="37" fillId="0" borderId="0"/>
    <xf numFmtId="40" fontId="5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23" fillId="0" borderId="0"/>
    <xf numFmtId="0" fontId="37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7" fillId="0" borderId="0"/>
    <xf numFmtId="0" fontId="5" fillId="0" borderId="0"/>
    <xf numFmtId="0" fontId="5" fillId="0" borderId="0"/>
    <xf numFmtId="0" fontId="5" fillId="0" borderId="0"/>
    <xf numFmtId="0" fontId="5" fillId="0" borderId="0"/>
    <xf numFmtId="40" fontId="5" fillId="0" borderId="0"/>
    <xf numFmtId="0" fontId="36" fillId="0" borderId="0"/>
    <xf numFmtId="40" fontId="5" fillId="0" borderId="0"/>
    <xf numFmtId="0" fontId="17" fillId="0" borderId="0"/>
    <xf numFmtId="40" fontId="5" fillId="0" borderId="0"/>
    <xf numFmtId="0" fontId="37" fillId="0" borderId="0"/>
    <xf numFmtId="40" fontId="5" fillId="0" borderId="0"/>
    <xf numFmtId="0" fontId="36" fillId="0" borderId="0"/>
    <xf numFmtId="40" fontId="5" fillId="0" borderId="0"/>
    <xf numFmtId="0" fontId="37" fillId="0" borderId="0"/>
    <xf numFmtId="0" fontId="36" fillId="0" borderId="0"/>
    <xf numFmtId="0" fontId="36" fillId="0" borderId="0"/>
    <xf numFmtId="0" fontId="37" fillId="0" borderId="0"/>
    <xf numFmtId="0" fontId="36" fillId="0" borderId="0"/>
    <xf numFmtId="0" fontId="36" fillId="0" borderId="0"/>
    <xf numFmtId="0" fontId="37" fillId="0" borderId="0"/>
    <xf numFmtId="0" fontId="36" fillId="0" borderId="0"/>
    <xf numFmtId="0" fontId="36" fillId="0" borderId="0"/>
    <xf numFmtId="0" fontId="37" fillId="0" borderId="0"/>
    <xf numFmtId="0" fontId="36" fillId="0" borderId="0"/>
    <xf numFmtId="0" fontId="36" fillId="0" borderId="0"/>
    <xf numFmtId="0" fontId="37" fillId="0" borderId="0"/>
    <xf numFmtId="0" fontId="36" fillId="0" borderId="0"/>
    <xf numFmtId="0" fontId="36" fillId="0" borderId="0"/>
    <xf numFmtId="0" fontId="37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7" fillId="0" borderId="0"/>
    <xf numFmtId="0" fontId="36" fillId="0" borderId="0"/>
    <xf numFmtId="0" fontId="36" fillId="0" borderId="0"/>
    <xf numFmtId="0" fontId="37" fillId="0" borderId="0"/>
    <xf numFmtId="0" fontId="36" fillId="0" borderId="0"/>
    <xf numFmtId="0" fontId="36" fillId="0" borderId="0"/>
    <xf numFmtId="0" fontId="25" fillId="0" borderId="0"/>
    <xf numFmtId="0" fontId="5" fillId="0" borderId="0"/>
    <xf numFmtId="0" fontId="36" fillId="0" borderId="0"/>
    <xf numFmtId="0" fontId="36" fillId="0" borderId="0"/>
    <xf numFmtId="0" fontId="25" fillId="0" borderId="0"/>
    <xf numFmtId="0" fontId="5" fillId="0" borderId="0"/>
    <xf numFmtId="0" fontId="36" fillId="0" borderId="0"/>
    <xf numFmtId="0" fontId="36" fillId="0" borderId="0"/>
    <xf numFmtId="0" fontId="25" fillId="0" borderId="0"/>
    <xf numFmtId="0" fontId="5" fillId="0" borderId="0"/>
    <xf numFmtId="0" fontId="36" fillId="0" borderId="0"/>
    <xf numFmtId="0" fontId="36" fillId="0" borderId="0"/>
    <xf numFmtId="0" fontId="25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24" fillId="0" borderId="0"/>
    <xf numFmtId="0" fontId="25" fillId="0" borderId="0"/>
    <xf numFmtId="0" fontId="5" fillId="0" borderId="0"/>
    <xf numFmtId="0" fontId="23" fillId="0" borderId="0"/>
    <xf numFmtId="0" fontId="25" fillId="0" borderId="0"/>
    <xf numFmtId="0" fontId="5" fillId="0" borderId="0"/>
    <xf numFmtId="0" fontId="5" fillId="0" borderId="0"/>
    <xf numFmtId="0" fontId="52" fillId="0" borderId="0"/>
    <xf numFmtId="39" fontId="5" fillId="0" borderId="0"/>
    <xf numFmtId="39" fontId="5" fillId="0" borderId="0"/>
    <xf numFmtId="39" fontId="5" fillId="0" borderId="0"/>
    <xf numFmtId="0" fontId="31" fillId="0" borderId="0"/>
    <xf numFmtId="0" fontId="17" fillId="0" borderId="0"/>
    <xf numFmtId="39" fontId="5" fillId="0" borderId="0"/>
    <xf numFmtId="39" fontId="5" fillId="0" borderId="0"/>
    <xf numFmtId="0" fontId="5" fillId="0" borderId="0"/>
    <xf numFmtId="39" fontId="5" fillId="0" borderId="0"/>
    <xf numFmtId="0" fontId="31" fillId="0" borderId="0"/>
    <xf numFmtId="0" fontId="17" fillId="0" borderId="0"/>
    <xf numFmtId="0" fontId="7" fillId="0" borderId="0"/>
    <xf numFmtId="0" fontId="7" fillId="0" borderId="0"/>
    <xf numFmtId="165" fontId="5" fillId="0" borderId="0"/>
    <xf numFmtId="165" fontId="5" fillId="0" borderId="0"/>
    <xf numFmtId="165" fontId="5" fillId="0" borderId="0"/>
    <xf numFmtId="0" fontId="17" fillId="0" borderId="0"/>
    <xf numFmtId="165" fontId="5" fillId="0" borderId="0"/>
    <xf numFmtId="0" fontId="37" fillId="0" borderId="0"/>
    <xf numFmtId="0" fontId="7" fillId="0" borderId="0"/>
    <xf numFmtId="0" fontId="37" fillId="0" borderId="0"/>
    <xf numFmtId="165" fontId="5" fillId="0" borderId="0"/>
    <xf numFmtId="165" fontId="5" fillId="0" borderId="0"/>
    <xf numFmtId="0" fontId="7" fillId="0" borderId="0"/>
    <xf numFmtId="0" fontId="17" fillId="0" borderId="0"/>
    <xf numFmtId="0" fontId="37" fillId="0" borderId="0"/>
    <xf numFmtId="0" fontId="3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37" fillId="0" borderId="0"/>
    <xf numFmtId="0" fontId="3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39" fontId="5" fillId="0" borderId="0"/>
    <xf numFmtId="0" fontId="5" fillId="0" borderId="0"/>
    <xf numFmtId="0" fontId="5" fillId="0" borderId="0"/>
    <xf numFmtId="40" fontId="5" fillId="0" borderId="0"/>
    <xf numFmtId="40" fontId="5" fillId="0" borderId="0"/>
    <xf numFmtId="39" fontId="5" fillId="0" borderId="0"/>
    <xf numFmtId="39" fontId="5" fillId="0" borderId="0"/>
    <xf numFmtId="0" fontId="17" fillId="0" borderId="0"/>
    <xf numFmtId="39" fontId="5" fillId="0" borderId="0"/>
    <xf numFmtId="0" fontId="53" fillId="0" borderId="0"/>
    <xf numFmtId="0" fontId="53" fillId="0" borderId="0"/>
    <xf numFmtId="40" fontId="5" fillId="0" borderId="0"/>
    <xf numFmtId="40" fontId="5" fillId="0" borderId="0"/>
    <xf numFmtId="0" fontId="36" fillId="0" borderId="0"/>
    <xf numFmtId="0" fontId="5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" fillId="0" borderId="0"/>
    <xf numFmtId="40" fontId="5" fillId="0" borderId="0"/>
    <xf numFmtId="4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7" fillId="0" borderId="0"/>
    <xf numFmtId="0" fontId="5" fillId="0" borderId="0"/>
    <xf numFmtId="0" fontId="37" fillId="0" borderId="0"/>
    <xf numFmtId="0" fontId="5" fillId="0" borderId="0"/>
    <xf numFmtId="0" fontId="5" fillId="0" borderId="0"/>
    <xf numFmtId="0" fontId="5" fillId="0" borderId="0"/>
    <xf numFmtId="0" fontId="5" fillId="0" borderId="0"/>
    <xf numFmtId="38" fontId="19" fillId="0" borderId="0"/>
    <xf numFmtId="38" fontId="19" fillId="0" borderId="0"/>
    <xf numFmtId="0" fontId="37" fillId="0" borderId="0"/>
    <xf numFmtId="38" fontId="19" fillId="0" borderId="0"/>
    <xf numFmtId="0" fontId="5" fillId="0" borderId="0"/>
    <xf numFmtId="0" fontId="5" fillId="0" borderId="0"/>
    <xf numFmtId="0" fontId="1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165" fontId="5" fillId="0" borderId="0"/>
    <xf numFmtId="0" fontId="37" fillId="0" borderId="0"/>
    <xf numFmtId="0" fontId="17" fillId="0" borderId="0"/>
    <xf numFmtId="0" fontId="37" fillId="0" borderId="0"/>
    <xf numFmtId="165" fontId="5" fillId="0" borderId="0"/>
    <xf numFmtId="165" fontId="5" fillId="0" borderId="0"/>
    <xf numFmtId="40" fontId="5" fillId="0" borderId="0"/>
    <xf numFmtId="40" fontId="5" fillId="0" borderId="0"/>
    <xf numFmtId="40" fontId="5" fillId="0" borderId="0"/>
    <xf numFmtId="0" fontId="37" fillId="0" borderId="0"/>
    <xf numFmtId="40" fontId="5" fillId="0" borderId="0"/>
    <xf numFmtId="40" fontId="5" fillId="0" borderId="0"/>
    <xf numFmtId="40" fontId="5" fillId="0" borderId="0"/>
    <xf numFmtId="0" fontId="5" fillId="0" borderId="0"/>
    <xf numFmtId="0" fontId="5" fillId="0" borderId="0"/>
    <xf numFmtId="165" fontId="5" fillId="0" borderId="0"/>
    <xf numFmtId="165" fontId="5" fillId="0" borderId="0"/>
    <xf numFmtId="165" fontId="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" fillId="0" borderId="0"/>
    <xf numFmtId="0" fontId="5" fillId="0" borderId="0"/>
    <xf numFmtId="0" fontId="5" fillId="0" borderId="0"/>
    <xf numFmtId="0" fontId="37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40" fontId="5" fillId="0" borderId="0"/>
    <xf numFmtId="40" fontId="5" fillId="0" borderId="0"/>
    <xf numFmtId="0" fontId="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" fillId="0" borderId="0"/>
    <xf numFmtId="0" fontId="5" fillId="0" borderId="0"/>
    <xf numFmtId="0" fontId="5" fillId="0" borderId="0" applyFont="0"/>
    <xf numFmtId="0" fontId="5" fillId="0" borderId="0" applyFont="0"/>
    <xf numFmtId="0" fontId="5" fillId="0" borderId="0"/>
    <xf numFmtId="0" fontId="5" fillId="0" borderId="0"/>
    <xf numFmtId="0" fontId="5" fillId="0" borderId="0"/>
    <xf numFmtId="0" fontId="37" fillId="0" borderId="0"/>
    <xf numFmtId="40" fontId="5" fillId="0" borderId="0"/>
    <xf numFmtId="40" fontId="5" fillId="0" borderId="0"/>
    <xf numFmtId="0" fontId="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" fillId="0" borderId="0"/>
    <xf numFmtId="0" fontId="5" fillId="0" borderId="0"/>
    <xf numFmtId="0" fontId="5" fillId="0" borderId="0"/>
    <xf numFmtId="0" fontId="37" fillId="0" borderId="0"/>
    <xf numFmtId="0" fontId="17" fillId="0" borderId="0"/>
    <xf numFmtId="0" fontId="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165" fontId="5" fillId="0" borderId="0"/>
    <xf numFmtId="0" fontId="37" fillId="0" borderId="0"/>
    <xf numFmtId="40" fontId="5" fillId="0" borderId="0"/>
    <xf numFmtId="40" fontId="5" fillId="0" borderId="0"/>
    <xf numFmtId="165" fontId="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6" fillId="35" borderId="11" applyNumberFormat="0" applyFont="0" applyAlignment="0" applyProtection="0"/>
    <xf numFmtId="0" fontId="26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33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33" fillId="35" borderId="11" applyNumberFormat="0" applyFont="0" applyAlignment="0" applyProtection="0"/>
    <xf numFmtId="0" fontId="4" fillId="35" borderId="11" applyNumberFormat="0" applyFont="0" applyAlignment="0" applyProtection="0"/>
    <xf numFmtId="0" fontId="26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26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33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26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33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26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33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26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33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26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33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4" fillId="35" borderId="11" applyNumberFormat="0" applyFont="0" applyAlignment="0" applyProtection="0"/>
    <xf numFmtId="0" fontId="22" fillId="0" borderId="0">
      <alignment horizontal="center"/>
    </xf>
    <xf numFmtId="0" fontId="54" fillId="30" borderId="12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3" fillId="0" borderId="1"/>
    <xf numFmtId="166" fontId="13" fillId="0" borderId="1"/>
    <xf numFmtId="166" fontId="13" fillId="0" borderId="1"/>
    <xf numFmtId="166" fontId="13" fillId="0" borderId="1"/>
    <xf numFmtId="166" fontId="13" fillId="0" borderId="1"/>
    <xf numFmtId="166" fontId="13" fillId="0" borderId="1"/>
    <xf numFmtId="0" fontId="20" fillId="0" borderId="0" applyNumberFormat="0" applyFill="0" applyBorder="0" applyAlignment="0" applyProtection="0">
      <alignment horizontal="left" vertical="center"/>
    </xf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13" applyNumberFormat="0" applyFill="0" applyAlignment="0" applyProtection="0"/>
    <xf numFmtId="166" fontId="21" fillId="0" borderId="0">
      <alignment horizontal="right"/>
    </xf>
    <xf numFmtId="0" fontId="57" fillId="0" borderId="0" applyNumberFormat="0" applyFill="0" applyBorder="0" applyAlignment="0" applyProtection="0"/>
  </cellStyleXfs>
  <cellXfs count="56">
    <xf numFmtId="0" fontId="0" fillId="0" borderId="0" xfId="0"/>
    <xf numFmtId="164" fontId="3" fillId="0" borderId="0" xfId="35" applyNumberFormat="1" applyFont="1"/>
    <xf numFmtId="164" fontId="3" fillId="0" borderId="2" xfId="35" applyNumberFormat="1" applyFont="1" applyBorder="1"/>
    <xf numFmtId="164" fontId="3" fillId="2" borderId="0" xfId="35" applyNumberFormat="1" applyFont="1" applyFill="1"/>
    <xf numFmtId="164" fontId="3" fillId="2" borderId="3" xfId="35" applyNumberFormat="1" applyFont="1" applyFill="1" applyBorder="1"/>
    <xf numFmtId="164" fontId="3" fillId="0" borderId="0" xfId="35" applyNumberFormat="1" applyFont="1" applyFill="1"/>
    <xf numFmtId="164" fontId="3" fillId="0" borderId="0" xfId="35" applyNumberFormat="1" applyFont="1" applyBorder="1"/>
    <xf numFmtId="164" fontId="3" fillId="3" borderId="0" xfId="35" applyNumberFormat="1" applyFont="1" applyFill="1" applyAlignment="1"/>
    <xf numFmtId="164" fontId="3" fillId="3" borderId="0" xfId="35" applyNumberFormat="1" applyFont="1" applyFill="1"/>
    <xf numFmtId="164" fontId="3" fillId="2" borderId="4" xfId="35" applyNumberFormat="1" applyFont="1" applyFill="1" applyBorder="1"/>
    <xf numFmtId="43" fontId="29" fillId="0" borderId="0" xfId="35" applyFont="1"/>
    <xf numFmtId="43" fontId="30" fillId="0" borderId="0" xfId="35" applyFont="1" applyAlignment="1">
      <alignment horizontal="centerContinuous"/>
    </xf>
    <xf numFmtId="43" fontId="30" fillId="0" borderId="0" xfId="35" applyFont="1"/>
    <xf numFmtId="43" fontId="29" fillId="0" borderId="0" xfId="35" applyFont="1" applyAlignment="1">
      <alignment horizontal="center"/>
    </xf>
    <xf numFmtId="43" fontId="29" fillId="0" borderId="0" xfId="35" applyFont="1" applyAlignment="1"/>
    <xf numFmtId="43" fontId="29" fillId="0" borderId="0" xfId="35" applyFont="1" applyFill="1"/>
    <xf numFmtId="43" fontId="29" fillId="0" borderId="0" xfId="35" applyFont="1" applyAlignment="1">
      <alignment horizontal="left"/>
    </xf>
    <xf numFmtId="43" fontId="29" fillId="0" borderId="2" xfId="35" applyFont="1" applyBorder="1" applyAlignment="1"/>
    <xf numFmtId="43" fontId="2" fillId="0" borderId="0" xfId="35" applyFont="1"/>
    <xf numFmtId="43" fontId="2" fillId="0" borderId="0" xfId="35" applyFont="1" applyAlignment="1">
      <alignment horizontal="left" wrapText="1"/>
    </xf>
    <xf numFmtId="43" fontId="29" fillId="0" borderId="0" xfId="35" applyFont="1" applyAlignment="1">
      <alignment horizontal="left" vertical="top"/>
    </xf>
    <xf numFmtId="43" fontId="29" fillId="0" borderId="0" xfId="35" applyFont="1" applyFill="1" applyAlignment="1">
      <alignment horizontal="left" vertical="top"/>
    </xf>
    <xf numFmtId="43" fontId="29" fillId="0" borderId="0" xfId="35" applyFont="1" applyAlignment="1">
      <alignment horizontal="left" vertical="top" wrapText="1"/>
    </xf>
    <xf numFmtId="43" fontId="29" fillId="0" borderId="0" xfId="35" applyFont="1" applyAlignment="1">
      <alignment horizontal="right"/>
    </xf>
    <xf numFmtId="164" fontId="29" fillId="0" borderId="0" xfId="35" applyNumberFormat="1" applyFont="1"/>
    <xf numFmtId="164" fontId="29" fillId="0" borderId="0" xfId="35" applyNumberFormat="1" applyFont="1" applyFill="1"/>
    <xf numFmtId="164" fontId="30" fillId="0" borderId="0" xfId="35" applyNumberFormat="1" applyFont="1" applyAlignment="1">
      <alignment horizontal="centerContinuous"/>
    </xf>
    <xf numFmtId="164" fontId="30" fillId="0" borderId="0" xfId="35" applyNumberFormat="1" applyFont="1"/>
    <xf numFmtId="164" fontId="29" fillId="0" borderId="0" xfId="35" applyNumberFormat="1" applyFont="1" applyAlignment="1">
      <alignment horizontal="center"/>
    </xf>
    <xf numFmtId="164" fontId="29" fillId="0" borderId="2" xfId="35" applyNumberFormat="1" applyFont="1" applyBorder="1" applyAlignment="1">
      <alignment horizontal="center" wrapText="1"/>
    </xf>
    <xf numFmtId="164" fontId="29" fillId="0" borderId="0" xfId="35" applyNumberFormat="1" applyFont="1" applyAlignment="1"/>
    <xf numFmtId="164" fontId="29" fillId="0" borderId="0" xfId="35" applyNumberFormat="1" applyFont="1" applyAlignment="1">
      <alignment horizontal="center" vertical="top" wrapText="1"/>
    </xf>
    <xf numFmtId="164" fontId="26" fillId="0" borderId="0" xfId="35" applyNumberFormat="1" applyFont="1"/>
    <xf numFmtId="164" fontId="29" fillId="4" borderId="0" xfId="35" applyNumberFormat="1" applyFont="1" applyFill="1"/>
    <xf numFmtId="164" fontId="28" fillId="0" borderId="0" xfId="35" applyNumberFormat="1" applyFont="1"/>
    <xf numFmtId="164" fontId="29" fillId="0" borderId="0" xfId="35" applyNumberFormat="1" applyFont="1" applyFill="1" applyBorder="1"/>
    <xf numFmtId="164" fontId="3" fillId="0" borderId="0" xfId="35" applyNumberFormat="1" applyFont="1" applyFill="1" applyBorder="1"/>
    <xf numFmtId="164" fontId="30" fillId="0" borderId="0" xfId="35" applyNumberFormat="1" applyFont="1" applyFill="1" applyAlignment="1">
      <alignment horizontal="center"/>
    </xf>
    <xf numFmtId="43" fontId="30" fillId="0" borderId="0" xfId="35" applyFont="1" applyAlignment="1">
      <alignment horizontal="center"/>
    </xf>
    <xf numFmtId="164" fontId="30" fillId="0" borderId="0" xfId="35" applyNumberFormat="1" applyFont="1" applyAlignment="1">
      <alignment horizontal="center"/>
    </xf>
    <xf numFmtId="174" fontId="29" fillId="0" borderId="0" xfId="35" applyNumberFormat="1" applyFont="1"/>
    <xf numFmtId="174" fontId="30" fillId="0" borderId="0" xfId="35" applyNumberFormat="1" applyFont="1" applyAlignment="1">
      <alignment horizontal="centerContinuous"/>
    </xf>
    <xf numFmtId="174" fontId="29" fillId="0" borderId="0" xfId="35" applyNumberFormat="1" applyFont="1" applyAlignment="1">
      <alignment horizontal="center"/>
    </xf>
    <xf numFmtId="174" fontId="29" fillId="0" borderId="2" xfId="35" applyNumberFormat="1" applyFont="1" applyBorder="1" applyAlignment="1">
      <alignment horizontal="center" wrapText="1"/>
    </xf>
    <xf numFmtId="174" fontId="29" fillId="0" borderId="0" xfId="35" applyNumberFormat="1" applyFont="1" applyAlignment="1">
      <alignment horizontal="center" vertical="top" wrapText="1"/>
    </xf>
    <xf numFmtId="174" fontId="3" fillId="2" borderId="0" xfId="35" applyNumberFormat="1" applyFont="1" applyFill="1"/>
    <xf numFmtId="174" fontId="3" fillId="0" borderId="0" xfId="35" applyNumberFormat="1" applyFont="1"/>
    <xf numFmtId="174" fontId="29" fillId="4" borderId="0" xfId="35" applyNumberFormat="1" applyFont="1" applyFill="1"/>
    <xf numFmtId="174" fontId="30" fillId="0" borderId="0" xfId="35" applyNumberFormat="1" applyFont="1" applyFill="1" applyAlignment="1">
      <alignment horizontal="center"/>
    </xf>
    <xf numFmtId="164" fontId="30" fillId="0" borderId="0" xfId="35" applyNumberFormat="1" applyFont="1" applyFill="1" applyBorder="1"/>
    <xf numFmtId="164" fontId="29" fillId="0" borderId="0" xfId="35" applyNumberFormat="1" applyFont="1" applyFill="1" applyBorder="1" applyAlignment="1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56" fillId="0" borderId="0" xfId="0" applyFont="1"/>
    <xf numFmtId="0" fontId="56" fillId="0" borderId="0" xfId="0" applyFont="1" applyAlignment="1">
      <alignment wrapText="1"/>
    </xf>
  </cellXfs>
  <cellStyles count="3942">
    <cellStyle name=" $" xfId="1"/>
    <cellStyle name=" £" xfId="2"/>
    <cellStyle name="£ [0]" xfId="3"/>
    <cellStyle name="000's" xfId="4"/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2" xfId="23"/>
    <cellStyle name="Accent2 2" xfId="24"/>
    <cellStyle name="Accent3 2" xfId="25"/>
    <cellStyle name="Accent4 2" xfId="26"/>
    <cellStyle name="Accent5 2" xfId="27"/>
    <cellStyle name="Accent6 2" xfId="28"/>
    <cellStyle name="Area (M2)" xfId="29"/>
    <cellStyle name="Bad 2" xfId="30"/>
    <cellStyle name="BoldNormal" xfId="31"/>
    <cellStyle name="Calculation 2" xfId="32"/>
    <cellStyle name="Check Cell 2" xfId="33"/>
    <cellStyle name="ColumnHeaders" xfId="34"/>
    <cellStyle name="Comma" xfId="35" builtinId="3"/>
    <cellStyle name="Comma (.00)" xfId="36"/>
    <cellStyle name="Comma [0] 2" xfId="37"/>
    <cellStyle name="Comma [0] 2 2" xfId="38"/>
    <cellStyle name="Comma [0] 3" xfId="39"/>
    <cellStyle name="Comma [0] 3 2" xfId="40"/>
    <cellStyle name="Comma 10" xfId="41"/>
    <cellStyle name="Comma 10 2" xfId="42"/>
    <cellStyle name="Comma 10 2 2" xfId="43"/>
    <cellStyle name="Comma 10 2 2 2" xfId="44"/>
    <cellStyle name="Comma 10 2 3" xfId="45"/>
    <cellStyle name="Comma 10 2 3 2" xfId="46"/>
    <cellStyle name="Comma 10 2 4" xfId="47"/>
    <cellStyle name="Comma 10 3" xfId="48"/>
    <cellStyle name="Comma 10 3 2" xfId="49"/>
    <cellStyle name="Comma 10 4" xfId="50"/>
    <cellStyle name="Comma 10 4 2" xfId="51"/>
    <cellStyle name="Comma 10 4 2 2" xfId="52"/>
    <cellStyle name="Comma 10 4 3" xfId="53"/>
    <cellStyle name="Comma 10 4 3 2" xfId="54"/>
    <cellStyle name="Comma 100" xfId="55"/>
    <cellStyle name="Comma 100 2" xfId="56"/>
    <cellStyle name="Comma 101" xfId="57"/>
    <cellStyle name="Comma 101 2" xfId="58"/>
    <cellStyle name="Comma 102" xfId="59"/>
    <cellStyle name="Comma 102 2" xfId="60"/>
    <cellStyle name="Comma 103" xfId="61"/>
    <cellStyle name="Comma 103 2" xfId="62"/>
    <cellStyle name="Comma 104" xfId="63"/>
    <cellStyle name="Comma 104 2" xfId="64"/>
    <cellStyle name="Comma 105" xfId="65"/>
    <cellStyle name="Comma 105 2" xfId="66"/>
    <cellStyle name="Comma 106" xfId="67"/>
    <cellStyle name="Comma 106 2" xfId="68"/>
    <cellStyle name="Comma 107" xfId="69"/>
    <cellStyle name="Comma 107 2" xfId="70"/>
    <cellStyle name="Comma 108" xfId="71"/>
    <cellStyle name="Comma 108 2" xfId="72"/>
    <cellStyle name="Comma 109" xfId="73"/>
    <cellStyle name="Comma 109 2" xfId="74"/>
    <cellStyle name="Comma 11" xfId="75"/>
    <cellStyle name="Comma 11 2" xfId="76"/>
    <cellStyle name="Comma 11 2 2" xfId="77"/>
    <cellStyle name="Comma 11 3" xfId="78"/>
    <cellStyle name="Comma 11 3 2" xfId="79"/>
    <cellStyle name="Comma 11 3 2 2" xfId="80"/>
    <cellStyle name="Comma 11 3 3" xfId="81"/>
    <cellStyle name="Comma 11 3 3 2" xfId="82"/>
    <cellStyle name="Comma 11 3 3 2 2" xfId="83"/>
    <cellStyle name="Comma 11 3 3 3" xfId="84"/>
    <cellStyle name="Comma 11 3 4" xfId="85"/>
    <cellStyle name="Comma 11 4" xfId="86"/>
    <cellStyle name="Comma 11 5" xfId="87"/>
    <cellStyle name="Comma 110" xfId="88"/>
    <cellStyle name="Comma 110 2" xfId="89"/>
    <cellStyle name="Comma 111" xfId="90"/>
    <cellStyle name="Comma 111 2" xfId="91"/>
    <cellStyle name="Comma 112" xfId="92"/>
    <cellStyle name="Comma 112 2" xfId="93"/>
    <cellStyle name="Comma 113" xfId="94"/>
    <cellStyle name="Comma 113 2" xfId="95"/>
    <cellStyle name="Comma 114" xfId="96"/>
    <cellStyle name="Comma 114 2" xfId="97"/>
    <cellStyle name="Comma 115" xfId="98"/>
    <cellStyle name="Comma 115 2" xfId="99"/>
    <cellStyle name="Comma 116" xfId="100"/>
    <cellStyle name="Comma 116 2" xfId="101"/>
    <cellStyle name="Comma 117" xfId="102"/>
    <cellStyle name="Comma 117 2" xfId="103"/>
    <cellStyle name="Comma 118" xfId="104"/>
    <cellStyle name="Comma 118 2" xfId="105"/>
    <cellStyle name="Comma 118 2 2" xfId="106"/>
    <cellStyle name="Comma 118 3" xfId="107"/>
    <cellStyle name="Comma 119" xfId="108"/>
    <cellStyle name="Comma 119 2" xfId="109"/>
    <cellStyle name="Comma 119 2 2" xfId="110"/>
    <cellStyle name="Comma 119 3" xfId="111"/>
    <cellStyle name="Comma 12" xfId="112"/>
    <cellStyle name="Comma 12 2" xfId="113"/>
    <cellStyle name="Comma 120" xfId="114"/>
    <cellStyle name="Comma 120 2" xfId="115"/>
    <cellStyle name="Comma 120 2 2" xfId="116"/>
    <cellStyle name="Comma 120 3" xfId="117"/>
    <cellStyle name="Comma 121" xfId="118"/>
    <cellStyle name="Comma 121 2" xfId="119"/>
    <cellStyle name="Comma 121 2 2" xfId="120"/>
    <cellStyle name="Comma 121 3" xfId="121"/>
    <cellStyle name="Comma 122" xfId="122"/>
    <cellStyle name="Comma 122 2" xfId="123"/>
    <cellStyle name="Comma 122 2 2" xfId="124"/>
    <cellStyle name="Comma 122 3" xfId="125"/>
    <cellStyle name="Comma 123" xfId="126"/>
    <cellStyle name="Comma 123 2" xfId="127"/>
    <cellStyle name="Comma 123 2 2" xfId="128"/>
    <cellStyle name="Comma 123 3" xfId="129"/>
    <cellStyle name="Comma 124" xfId="130"/>
    <cellStyle name="Comma 124 2" xfId="131"/>
    <cellStyle name="Comma 124 2 2" xfId="132"/>
    <cellStyle name="Comma 124 3" xfId="133"/>
    <cellStyle name="Comma 125" xfId="134"/>
    <cellStyle name="Comma 125 2" xfId="135"/>
    <cellStyle name="Comma 125 2 2" xfId="136"/>
    <cellStyle name="Comma 125 3" xfId="137"/>
    <cellStyle name="Comma 126" xfId="138"/>
    <cellStyle name="Comma 126 2" xfId="139"/>
    <cellStyle name="Comma 126 2 2" xfId="140"/>
    <cellStyle name="Comma 126 3" xfId="141"/>
    <cellStyle name="Comma 127" xfId="142"/>
    <cellStyle name="Comma 127 2" xfId="143"/>
    <cellStyle name="Comma 127 2 2" xfId="144"/>
    <cellStyle name="Comma 127 3" xfId="145"/>
    <cellStyle name="Comma 128" xfId="146"/>
    <cellStyle name="Comma 128 2" xfId="147"/>
    <cellStyle name="Comma 128 2 2" xfId="148"/>
    <cellStyle name="Comma 128 3" xfId="149"/>
    <cellStyle name="Comma 129" xfId="150"/>
    <cellStyle name="Comma 129 2" xfId="151"/>
    <cellStyle name="Comma 129 2 2" xfId="152"/>
    <cellStyle name="Comma 129 3" xfId="153"/>
    <cellStyle name="Comma 13" xfId="154"/>
    <cellStyle name="Comma 13 2" xfId="155"/>
    <cellStyle name="Comma 13 2 2" xfId="156"/>
    <cellStyle name="Comma 13 2 2 2" xfId="157"/>
    <cellStyle name="Comma 13 2 3" xfId="158"/>
    <cellStyle name="Comma 13 2 3 2" xfId="159"/>
    <cellStyle name="Comma 13 2 4" xfId="160"/>
    <cellStyle name="Comma 13 2 4 2" xfId="161"/>
    <cellStyle name="Comma 13 2 4 3" xfId="162"/>
    <cellStyle name="Comma 13 2 4 4" xfId="163"/>
    <cellStyle name="Comma 13 2 4 4 2" xfId="164"/>
    <cellStyle name="Comma 13 2 5" xfId="165"/>
    <cellStyle name="Comma 13 3" xfId="166"/>
    <cellStyle name="Comma 13 3 2" xfId="167"/>
    <cellStyle name="Comma 13 4" xfId="168"/>
    <cellStyle name="Comma 13 4 2" xfId="169"/>
    <cellStyle name="Comma 13 5" xfId="170"/>
    <cellStyle name="Comma 13 5 2" xfId="171"/>
    <cellStyle name="Comma 13 6" xfId="172"/>
    <cellStyle name="Comma 13 6 2" xfId="173"/>
    <cellStyle name="Comma 13 6 3" xfId="174"/>
    <cellStyle name="Comma 13 6 4" xfId="175"/>
    <cellStyle name="Comma 13 6 4 2" xfId="176"/>
    <cellStyle name="Comma 13 7" xfId="177"/>
    <cellStyle name="Comma 130" xfId="178"/>
    <cellStyle name="Comma 130 2" xfId="179"/>
    <cellStyle name="Comma 130 2 2" xfId="180"/>
    <cellStyle name="Comma 130 3" xfId="181"/>
    <cellStyle name="Comma 131" xfId="182"/>
    <cellStyle name="Comma 131 2" xfId="183"/>
    <cellStyle name="Comma 131 2 2" xfId="184"/>
    <cellStyle name="Comma 131 3" xfId="185"/>
    <cellStyle name="Comma 132" xfId="186"/>
    <cellStyle name="Comma 132 2" xfId="187"/>
    <cellStyle name="Comma 132 2 2" xfId="188"/>
    <cellStyle name="Comma 132 3" xfId="189"/>
    <cellStyle name="Comma 133" xfId="190"/>
    <cellStyle name="Comma 133 2" xfId="191"/>
    <cellStyle name="Comma 134" xfId="192"/>
    <cellStyle name="Comma 134 2" xfId="193"/>
    <cellStyle name="Comma 134 2 2" xfId="194"/>
    <cellStyle name="Comma 134 3" xfId="195"/>
    <cellStyle name="Comma 135" xfId="196"/>
    <cellStyle name="Comma 135 2" xfId="197"/>
    <cellStyle name="Comma 136" xfId="198"/>
    <cellStyle name="Comma 136 2" xfId="199"/>
    <cellStyle name="Comma 137" xfId="200"/>
    <cellStyle name="Comma 137 2" xfId="201"/>
    <cellStyle name="Comma 138" xfId="202"/>
    <cellStyle name="Comma 138 2" xfId="203"/>
    <cellStyle name="Comma 139" xfId="204"/>
    <cellStyle name="Comma 139 2" xfId="205"/>
    <cellStyle name="Comma 14" xfId="206"/>
    <cellStyle name="Comma 14 2" xfId="207"/>
    <cellStyle name="Comma 14 2 2" xfId="208"/>
    <cellStyle name="Comma 14 2 2 2" xfId="209"/>
    <cellStyle name="Comma 14 2 3" xfId="210"/>
    <cellStyle name="Comma 14 2 3 2" xfId="211"/>
    <cellStyle name="Comma 14 2 4" xfId="212"/>
    <cellStyle name="Comma 14 2 4 2" xfId="213"/>
    <cellStyle name="Comma 14 2 4 3" xfId="214"/>
    <cellStyle name="Comma 14 2 4 4" xfId="215"/>
    <cellStyle name="Comma 14 2 4 4 2" xfId="216"/>
    <cellStyle name="Comma 14 2 5" xfId="217"/>
    <cellStyle name="Comma 14 3" xfId="218"/>
    <cellStyle name="Comma 14 3 2" xfId="219"/>
    <cellStyle name="Comma 14 4" xfId="220"/>
    <cellStyle name="Comma 14 4 2" xfId="221"/>
    <cellStyle name="Comma 14 5" xfId="222"/>
    <cellStyle name="Comma 14 5 2" xfId="223"/>
    <cellStyle name="Comma 14 6" xfId="224"/>
    <cellStyle name="Comma 14 6 2" xfId="225"/>
    <cellStyle name="Comma 14 6 3" xfId="226"/>
    <cellStyle name="Comma 14 6 4" xfId="227"/>
    <cellStyle name="Comma 14 6 4 2" xfId="228"/>
    <cellStyle name="Comma 14 7" xfId="229"/>
    <cellStyle name="Comma 140" xfId="230"/>
    <cellStyle name="Comma 140 2" xfId="231"/>
    <cellStyle name="Comma 141" xfId="232"/>
    <cellStyle name="Comma 141 2" xfId="233"/>
    <cellStyle name="Comma 142" xfId="234"/>
    <cellStyle name="Comma 142 2" xfId="235"/>
    <cellStyle name="Comma 143" xfId="236"/>
    <cellStyle name="Comma 143 2" xfId="237"/>
    <cellStyle name="Comma 144" xfId="238"/>
    <cellStyle name="Comma 144 2" xfId="239"/>
    <cellStyle name="Comma 145" xfId="240"/>
    <cellStyle name="Comma 145 2" xfId="241"/>
    <cellStyle name="Comma 146" xfId="242"/>
    <cellStyle name="Comma 146 2" xfId="243"/>
    <cellStyle name="Comma 147" xfId="244"/>
    <cellStyle name="Comma 147 2" xfId="245"/>
    <cellStyle name="Comma 148" xfId="246"/>
    <cellStyle name="Comma 148 2" xfId="247"/>
    <cellStyle name="Comma 149" xfId="248"/>
    <cellStyle name="Comma 149 2" xfId="249"/>
    <cellStyle name="Comma 15" xfId="250"/>
    <cellStyle name="Comma 15 2" xfId="251"/>
    <cellStyle name="Comma 15 2 2" xfId="252"/>
    <cellStyle name="Comma 15 2 2 2" xfId="253"/>
    <cellStyle name="Comma 15 2 3" xfId="254"/>
    <cellStyle name="Comma 15 2 3 2" xfId="255"/>
    <cellStyle name="Comma 15 2 4" xfId="256"/>
    <cellStyle name="Comma 15 2 4 2" xfId="257"/>
    <cellStyle name="Comma 15 2 4 3" xfId="258"/>
    <cellStyle name="Comma 15 2 4 4" xfId="259"/>
    <cellStyle name="Comma 15 2 4 4 2" xfId="260"/>
    <cellStyle name="Comma 15 2 5" xfId="261"/>
    <cellStyle name="Comma 15 3" xfId="262"/>
    <cellStyle name="Comma 15 3 2" xfId="263"/>
    <cellStyle name="Comma 15 4" xfId="264"/>
    <cellStyle name="Comma 15 4 2" xfId="265"/>
    <cellStyle name="Comma 15 5" xfId="266"/>
    <cellStyle name="Comma 15 5 2" xfId="267"/>
    <cellStyle name="Comma 15 6" xfId="268"/>
    <cellStyle name="Comma 15 6 2" xfId="269"/>
    <cellStyle name="Comma 15 6 3" xfId="270"/>
    <cellStyle name="Comma 15 6 4" xfId="271"/>
    <cellStyle name="Comma 15 6 4 2" xfId="272"/>
    <cellStyle name="Comma 15 7" xfId="273"/>
    <cellStyle name="Comma 150" xfId="274"/>
    <cellStyle name="Comma 150 2" xfId="275"/>
    <cellStyle name="Comma 151" xfId="276"/>
    <cellStyle name="Comma 151 2" xfId="277"/>
    <cellStyle name="Comma 152" xfId="278"/>
    <cellStyle name="Comma 152 2" xfId="279"/>
    <cellStyle name="Comma 153" xfId="280"/>
    <cellStyle name="Comma 153 2" xfId="281"/>
    <cellStyle name="Comma 154" xfId="282"/>
    <cellStyle name="Comma 154 2" xfId="283"/>
    <cellStyle name="Comma 155" xfId="284"/>
    <cellStyle name="Comma 155 2" xfId="285"/>
    <cellStyle name="Comma 156" xfId="286"/>
    <cellStyle name="Comma 156 2" xfId="287"/>
    <cellStyle name="Comma 157" xfId="288"/>
    <cellStyle name="Comma 157 2" xfId="289"/>
    <cellStyle name="Comma 158" xfId="290"/>
    <cellStyle name="Comma 158 2" xfId="291"/>
    <cellStyle name="Comma 159" xfId="292"/>
    <cellStyle name="Comma 159 2" xfId="293"/>
    <cellStyle name="Comma 16" xfId="294"/>
    <cellStyle name="Comma 16 2" xfId="295"/>
    <cellStyle name="Comma 16 2 2" xfId="296"/>
    <cellStyle name="Comma 16 3" xfId="297"/>
    <cellStyle name="Comma 16 3 2" xfId="298"/>
    <cellStyle name="Comma 16 4" xfId="299"/>
    <cellStyle name="Comma 160" xfId="300"/>
    <cellStyle name="Comma 160 2" xfId="301"/>
    <cellStyle name="Comma 161" xfId="302"/>
    <cellStyle name="Comma 161 2" xfId="303"/>
    <cellStyle name="Comma 162" xfId="304"/>
    <cellStyle name="Comma 162 2" xfId="305"/>
    <cellStyle name="Comma 163" xfId="306"/>
    <cellStyle name="Comma 163 2" xfId="307"/>
    <cellStyle name="Comma 164" xfId="308"/>
    <cellStyle name="Comma 164 2" xfId="309"/>
    <cellStyle name="Comma 165" xfId="310"/>
    <cellStyle name="Comma 165 2" xfId="311"/>
    <cellStyle name="Comma 166" xfId="312"/>
    <cellStyle name="Comma 166 2" xfId="313"/>
    <cellStyle name="Comma 167" xfId="314"/>
    <cellStyle name="Comma 167 2" xfId="315"/>
    <cellStyle name="Comma 168" xfId="316"/>
    <cellStyle name="Comma 168 2" xfId="317"/>
    <cellStyle name="Comma 169" xfId="318"/>
    <cellStyle name="Comma 169 2" xfId="319"/>
    <cellStyle name="Comma 17" xfId="320"/>
    <cellStyle name="Comma 17 2" xfId="321"/>
    <cellStyle name="Comma 17 2 2" xfId="322"/>
    <cellStyle name="Comma 17 3" xfId="323"/>
    <cellStyle name="Comma 17 3 2" xfId="324"/>
    <cellStyle name="Comma 17 4" xfId="325"/>
    <cellStyle name="Comma 170" xfId="326"/>
    <cellStyle name="Comma 170 2" xfId="327"/>
    <cellStyle name="Comma 171" xfId="328"/>
    <cellStyle name="Comma 171 2" xfId="329"/>
    <cellStyle name="Comma 171 3" xfId="330"/>
    <cellStyle name="Comma 172" xfId="331"/>
    <cellStyle name="Comma 172 2" xfId="332"/>
    <cellStyle name="Comma 172 2 2" xfId="333"/>
    <cellStyle name="Comma 172 3" xfId="334"/>
    <cellStyle name="Comma 173" xfId="335"/>
    <cellStyle name="Comma 173 2" xfId="336"/>
    <cellStyle name="Comma 173 2 2" xfId="337"/>
    <cellStyle name="Comma 173 3" xfId="338"/>
    <cellStyle name="Comma 174" xfId="339"/>
    <cellStyle name="Comma 174 2" xfId="340"/>
    <cellStyle name="Comma 174 2 2" xfId="341"/>
    <cellStyle name="Comma 174 3" xfId="342"/>
    <cellStyle name="Comma 175" xfId="343"/>
    <cellStyle name="Comma 175 2" xfId="344"/>
    <cellStyle name="Comma 175 2 2" xfId="345"/>
    <cellStyle name="Comma 175 3" xfId="346"/>
    <cellStyle name="Comma 176" xfId="347"/>
    <cellStyle name="Comma 176 2" xfId="348"/>
    <cellStyle name="Comma 177" xfId="349"/>
    <cellStyle name="Comma 177 2" xfId="350"/>
    <cellStyle name="Comma 178" xfId="351"/>
    <cellStyle name="Comma 178 2" xfId="352"/>
    <cellStyle name="Comma 179" xfId="353"/>
    <cellStyle name="Comma 179 2" xfId="354"/>
    <cellStyle name="Comma 18" xfId="355"/>
    <cellStyle name="Comma 18 2" xfId="356"/>
    <cellStyle name="Comma 18 2 2" xfId="357"/>
    <cellStyle name="Comma 18 3" xfId="358"/>
    <cellStyle name="Comma 18 3 2" xfId="359"/>
    <cellStyle name="Comma 18 4" xfId="360"/>
    <cellStyle name="Comma 180" xfId="361"/>
    <cellStyle name="Comma 180 2" xfId="362"/>
    <cellStyle name="Comma 181" xfId="363"/>
    <cellStyle name="Comma 181 2" xfId="364"/>
    <cellStyle name="Comma 182" xfId="365"/>
    <cellStyle name="Comma 182 2" xfId="366"/>
    <cellStyle name="Comma 183" xfId="367"/>
    <cellStyle name="Comma 183 2" xfId="368"/>
    <cellStyle name="Comma 183 2 2" xfId="369"/>
    <cellStyle name="Comma 183 3" xfId="370"/>
    <cellStyle name="Comma 184" xfId="371"/>
    <cellStyle name="Comma 184 2" xfId="372"/>
    <cellStyle name="Comma 184 2 2" xfId="373"/>
    <cellStyle name="Comma 184 3" xfId="374"/>
    <cellStyle name="Comma 185" xfId="375"/>
    <cellStyle name="Comma 185 2" xfId="376"/>
    <cellStyle name="Comma 186" xfId="377"/>
    <cellStyle name="Comma 186 2" xfId="378"/>
    <cellStyle name="Comma 187" xfId="379"/>
    <cellStyle name="Comma 187 2" xfId="380"/>
    <cellStyle name="Comma 188" xfId="381"/>
    <cellStyle name="Comma 188 2" xfId="382"/>
    <cellStyle name="Comma 189" xfId="383"/>
    <cellStyle name="Comma 189 2" xfId="384"/>
    <cellStyle name="Comma 189 2 2" xfId="385"/>
    <cellStyle name="Comma 189 3" xfId="386"/>
    <cellStyle name="Comma 19" xfId="387"/>
    <cellStyle name="Comma 19 2" xfId="388"/>
    <cellStyle name="Comma 19 2 2" xfId="389"/>
    <cellStyle name="Comma 19 3" xfId="390"/>
    <cellStyle name="Comma 19 3 2" xfId="391"/>
    <cellStyle name="Comma 19 4" xfId="392"/>
    <cellStyle name="Comma 190" xfId="393"/>
    <cellStyle name="Comma 190 2" xfId="394"/>
    <cellStyle name="Comma 190 2 2" xfId="395"/>
    <cellStyle name="Comma 190 3" xfId="396"/>
    <cellStyle name="Comma 191" xfId="397"/>
    <cellStyle name="Comma 191 2" xfId="398"/>
    <cellStyle name="Comma 192" xfId="399"/>
    <cellStyle name="Comma 192 2" xfId="400"/>
    <cellStyle name="Comma 193" xfId="401"/>
    <cellStyle name="Comma 193 2" xfId="402"/>
    <cellStyle name="Comma 194" xfId="403"/>
    <cellStyle name="Comma 194 2" xfId="404"/>
    <cellStyle name="Comma 195" xfId="405"/>
    <cellStyle name="Comma 195 2" xfId="406"/>
    <cellStyle name="Comma 196" xfId="407"/>
    <cellStyle name="Comma 196 2" xfId="408"/>
    <cellStyle name="Comma 197" xfId="409"/>
    <cellStyle name="Comma 197 2" xfId="410"/>
    <cellStyle name="Comma 198" xfId="411"/>
    <cellStyle name="Comma 198 2" xfId="412"/>
    <cellStyle name="Comma 199" xfId="413"/>
    <cellStyle name="Comma 199 2" xfId="414"/>
    <cellStyle name="Comma 2" xfId="415"/>
    <cellStyle name="Comma 2 10" xfId="416"/>
    <cellStyle name="Comma 2 10 2" xfId="417"/>
    <cellStyle name="Comma 2 10 2 2" xfId="418"/>
    <cellStyle name="Comma 2 10 3" xfId="419"/>
    <cellStyle name="Comma 2 11" xfId="420"/>
    <cellStyle name="Comma 2 11 2" xfId="421"/>
    <cellStyle name="Comma 2 11 2 2" xfId="422"/>
    <cellStyle name="Comma 2 11 3" xfId="423"/>
    <cellStyle name="Comma 2 12" xfId="424"/>
    <cellStyle name="Comma 2 12 2" xfId="425"/>
    <cellStyle name="Comma 2 12 3" xfId="426"/>
    <cellStyle name="Comma 2 12 3 2" xfId="427"/>
    <cellStyle name="Comma 2 12 3 3" xfId="428"/>
    <cellStyle name="Comma 2 12 3 4" xfId="429"/>
    <cellStyle name="Comma 2 12 3 4 2" xfId="430"/>
    <cellStyle name="Comma 2 12 4" xfId="431"/>
    <cellStyle name="Comma 2 13" xfId="432"/>
    <cellStyle name="Comma 2 13 2" xfId="433"/>
    <cellStyle name="Comma 2 14" xfId="434"/>
    <cellStyle name="Comma 2 14 2" xfId="435"/>
    <cellStyle name="Comma 2 14 3" xfId="436"/>
    <cellStyle name="Comma 2 14 4" xfId="437"/>
    <cellStyle name="Comma 2 14 4 2" xfId="438"/>
    <cellStyle name="Comma 2 15" xfId="439"/>
    <cellStyle name="Comma 2 2" xfId="440"/>
    <cellStyle name="Comma 2 2 2" xfId="441"/>
    <cellStyle name="Comma 2 2 2 2" xfId="442"/>
    <cellStyle name="Comma 2 2 3" xfId="443"/>
    <cellStyle name="Comma 2 2 3 2" xfId="444"/>
    <cellStyle name="Comma 2 2 4" xfId="445"/>
    <cellStyle name="Comma 2 2 4 2" xfId="446"/>
    <cellStyle name="Comma 2 2 4 3" xfId="447"/>
    <cellStyle name="Comma 2 2 4 3 2" xfId="448"/>
    <cellStyle name="Comma 2 2 5" xfId="449"/>
    <cellStyle name="Comma 2 2 6" xfId="450"/>
    <cellStyle name="Comma 2 2 6 2" xfId="451"/>
    <cellStyle name="Comma 2 3" xfId="452"/>
    <cellStyle name="Comma 2 3 2" xfId="453"/>
    <cellStyle name="Comma 2 4" xfId="454"/>
    <cellStyle name="Comma 2 4 10" xfId="455"/>
    <cellStyle name="Comma 2 4 2" xfId="456"/>
    <cellStyle name="Comma 2 4 2 2" xfId="457"/>
    <cellStyle name="Comma 2 4 2 2 2" xfId="458"/>
    <cellStyle name="Comma 2 4 2 3" xfId="459"/>
    <cellStyle name="Comma 2 4 3" xfId="460"/>
    <cellStyle name="Comma 2 4 3 2" xfId="461"/>
    <cellStyle name="Comma 2 4 3 2 2" xfId="462"/>
    <cellStyle name="Comma 2 4 3 2 2 2" xfId="463"/>
    <cellStyle name="Comma 2 4 3 2 3" xfId="464"/>
    <cellStyle name="Comma 2 4 3 3" xfId="465"/>
    <cellStyle name="Comma 2 4 3 3 2" xfId="466"/>
    <cellStyle name="Comma 2 4 3 4" xfId="467"/>
    <cellStyle name="Comma 2 4 4" xfId="468"/>
    <cellStyle name="Comma 2 4 4 2" xfId="469"/>
    <cellStyle name="Comma 2 4 4 2 2" xfId="470"/>
    <cellStyle name="Comma 2 4 4 2 2 2" xfId="471"/>
    <cellStyle name="Comma 2 4 4 2 3" xfId="472"/>
    <cellStyle name="Comma 2 4 4 2 3 2" xfId="473"/>
    <cellStyle name="Comma 2 4 4 2 4" xfId="474"/>
    <cellStyle name="Comma 2 4 4 2 4 2" xfId="475"/>
    <cellStyle name="Comma 2 4 4 2 4 3" xfId="476"/>
    <cellStyle name="Comma 2 4 4 2 4 4" xfId="477"/>
    <cellStyle name="Comma 2 4 4 2 4 4 2" xfId="478"/>
    <cellStyle name="Comma 2 4 4 2 5" xfId="479"/>
    <cellStyle name="Comma 2 4 4 3" xfId="480"/>
    <cellStyle name="Comma 2 4 4 3 2" xfId="481"/>
    <cellStyle name="Comma 2 4 4 4" xfId="482"/>
    <cellStyle name="Comma 2 4 4 4 2" xfId="483"/>
    <cellStyle name="Comma 2 4 4 5" xfId="484"/>
    <cellStyle name="Comma 2 4 4 6" xfId="485"/>
    <cellStyle name="Comma 2 4 5" xfId="486"/>
    <cellStyle name="Comma 2 4 5 2" xfId="487"/>
    <cellStyle name="Comma 2 4 5 2 2" xfId="488"/>
    <cellStyle name="Comma 2 4 5 3" xfId="489"/>
    <cellStyle name="Comma 2 4 6" xfId="490"/>
    <cellStyle name="Comma 2 4 6 2" xfId="491"/>
    <cellStyle name="Comma 2 4 6 2 2" xfId="492"/>
    <cellStyle name="Comma 2 4 6 3" xfId="493"/>
    <cellStyle name="Comma 2 4 6 3 2" xfId="494"/>
    <cellStyle name="Comma 2 4 6 4" xfId="495"/>
    <cellStyle name="Comma 2 4 6 4 2" xfId="496"/>
    <cellStyle name="Comma 2 4 6 4 3" xfId="497"/>
    <cellStyle name="Comma 2 4 6 4 4" xfId="498"/>
    <cellStyle name="Comma 2 4 6 4 4 2" xfId="499"/>
    <cellStyle name="Comma 2 4 6 5" xfId="500"/>
    <cellStyle name="Comma 2 4 7" xfId="501"/>
    <cellStyle name="Comma 2 4 7 2" xfId="502"/>
    <cellStyle name="Comma 2 4 8" xfId="503"/>
    <cellStyle name="Comma 2 4 9" xfId="504"/>
    <cellStyle name="Comma 2 5" xfId="505"/>
    <cellStyle name="Comma 2 5 2" xfId="506"/>
    <cellStyle name="Comma 2 5 2 2" xfId="507"/>
    <cellStyle name="Comma 2 5 2 2 2" xfId="508"/>
    <cellStyle name="Comma 2 5 2 3" xfId="509"/>
    <cellStyle name="Comma 2 5 3" xfId="510"/>
    <cellStyle name="Comma 2 5 3 2" xfId="511"/>
    <cellStyle name="Comma 2 5 3 2 2" xfId="512"/>
    <cellStyle name="Comma 2 5 3 3" xfId="513"/>
    <cellStyle name="Comma 2 5 3 3 2" xfId="514"/>
    <cellStyle name="Comma 2 5 3 4" xfId="515"/>
    <cellStyle name="Comma 2 5 3 4 2" xfId="516"/>
    <cellStyle name="Comma 2 5 3 4 3" xfId="517"/>
    <cellStyle name="Comma 2 5 3 4 4" xfId="518"/>
    <cellStyle name="Comma 2 5 3 4 4 2" xfId="519"/>
    <cellStyle name="Comma 2 5 3 5" xfId="520"/>
    <cellStyle name="Comma 2 5 4" xfId="521"/>
    <cellStyle name="Comma 2 5 5" xfId="522"/>
    <cellStyle name="Comma 2 6" xfId="523"/>
    <cellStyle name="Comma 2 6 10" xfId="524"/>
    <cellStyle name="Comma 2 6 2" xfId="525"/>
    <cellStyle name="Comma 2 6 2 2" xfId="526"/>
    <cellStyle name="Comma 2 6 3" xfId="527"/>
    <cellStyle name="Comma 2 6 3 2" xfId="528"/>
    <cellStyle name="Comma 2 6 3 2 2" xfId="529"/>
    <cellStyle name="Comma 2 6 3 2 2 2" xfId="530"/>
    <cellStyle name="Comma 2 6 3 2 3" xfId="531"/>
    <cellStyle name="Comma 2 6 3 3" xfId="532"/>
    <cellStyle name="Comma 2 6 3 3 2" xfId="533"/>
    <cellStyle name="Comma 2 6 3 4" xfId="534"/>
    <cellStyle name="Comma 2 6 3 4 2" xfId="535"/>
    <cellStyle name="Comma 2 6 3 5" xfId="536"/>
    <cellStyle name="Comma 2 6 3 5 2" xfId="537"/>
    <cellStyle name="Comma 2 6 3 6" xfId="538"/>
    <cellStyle name="Comma 2 6 4" xfId="539"/>
    <cellStyle name="Comma 2 6 4 2" xfId="540"/>
    <cellStyle name="Comma 2 6 5" xfId="541"/>
    <cellStyle name="Comma 2 6 5 2" xfId="542"/>
    <cellStyle name="Comma 2 6 5 2 2" xfId="543"/>
    <cellStyle name="Comma 2 6 5 3" xfId="544"/>
    <cellStyle name="Comma 2 6 5 3 2" xfId="545"/>
    <cellStyle name="Comma 2 6 5 3 2 2" xfId="546"/>
    <cellStyle name="Comma 2 6 5 3 3" xfId="547"/>
    <cellStyle name="Comma 2 6 5 3 3 2" xfId="548"/>
    <cellStyle name="Comma 2 6 5 3 4" xfId="549"/>
    <cellStyle name="Comma 2 6 5 3 4 2" xfId="550"/>
    <cellStyle name="Comma 2 6 5 3 4 3" xfId="551"/>
    <cellStyle name="Comma 2 6 5 3 4 4" xfId="552"/>
    <cellStyle name="Comma 2 6 5 3 4 4 2" xfId="553"/>
    <cellStyle name="Comma 2 6 5 3 5" xfId="554"/>
    <cellStyle name="Comma 2 6 5 4" xfId="555"/>
    <cellStyle name="Comma 2 6 5 4 2" xfId="556"/>
    <cellStyle name="Comma 2 6 5 5" xfId="557"/>
    <cellStyle name="Comma 2 6 5 5 2" xfId="558"/>
    <cellStyle name="Comma 2 6 5 6" xfId="559"/>
    <cellStyle name="Comma 2 6 5 7" xfId="560"/>
    <cellStyle name="Comma 2 6 6" xfId="561"/>
    <cellStyle name="Comma 2 6 6 2" xfId="562"/>
    <cellStyle name="Comma 2 6 6 2 2" xfId="563"/>
    <cellStyle name="Comma 2 6 6 3" xfId="564"/>
    <cellStyle name="Comma 2 6 6 3 2" xfId="565"/>
    <cellStyle name="Comma 2 6 6 4" xfId="566"/>
    <cellStyle name="Comma 2 6 6 4 2" xfId="567"/>
    <cellStyle name="Comma 2 6 6 4 3" xfId="568"/>
    <cellStyle name="Comma 2 6 6 4 4" xfId="569"/>
    <cellStyle name="Comma 2 6 6 4 4 2" xfId="570"/>
    <cellStyle name="Comma 2 6 6 5" xfId="571"/>
    <cellStyle name="Comma 2 6 7" xfId="572"/>
    <cellStyle name="Comma 2 6 7 2" xfId="573"/>
    <cellStyle name="Comma 2 6 8" xfId="574"/>
    <cellStyle name="Comma 2 6 9" xfId="575"/>
    <cellStyle name="Comma 2 7" xfId="576"/>
    <cellStyle name="Comma 2 7 2" xfId="577"/>
    <cellStyle name="Comma 2 7 2 2" xfId="578"/>
    <cellStyle name="Comma 2 7 3" xfId="579"/>
    <cellStyle name="Comma 2 8" xfId="580"/>
    <cellStyle name="Comma 2 8 2" xfId="581"/>
    <cellStyle name="Comma 2 9" xfId="582"/>
    <cellStyle name="Comma 2 9 2" xfId="583"/>
    <cellStyle name="Comma 2 9 2 2" xfId="584"/>
    <cellStyle name="Comma 2 9 3" xfId="585"/>
    <cellStyle name="Comma 2 9 3 2" xfId="586"/>
    <cellStyle name="Comma 2 9 4" xfId="587"/>
    <cellStyle name="Comma 20" xfId="588"/>
    <cellStyle name="Comma 20 2" xfId="589"/>
    <cellStyle name="Comma 20 2 2" xfId="590"/>
    <cellStyle name="Comma 20 3" xfId="591"/>
    <cellStyle name="Comma 20 3 2" xfId="592"/>
    <cellStyle name="Comma 20 4" xfId="593"/>
    <cellStyle name="Comma 200" xfId="594"/>
    <cellStyle name="Comma 200 2" xfId="595"/>
    <cellStyle name="Comma 201" xfId="596"/>
    <cellStyle name="Comma 201 2" xfId="597"/>
    <cellStyle name="Comma 202" xfId="598"/>
    <cellStyle name="Comma 202 2" xfId="599"/>
    <cellStyle name="Comma 203" xfId="600"/>
    <cellStyle name="Comma 203 2" xfId="601"/>
    <cellStyle name="Comma 204" xfId="602"/>
    <cellStyle name="Comma 204 2" xfId="603"/>
    <cellStyle name="Comma 205" xfId="604"/>
    <cellStyle name="Comma 205 2" xfId="605"/>
    <cellStyle name="Comma 206" xfId="606"/>
    <cellStyle name="Comma 206 2" xfId="607"/>
    <cellStyle name="Comma 207" xfId="608"/>
    <cellStyle name="Comma 207 2" xfId="609"/>
    <cellStyle name="Comma 208" xfId="610"/>
    <cellStyle name="Comma 208 2" xfId="611"/>
    <cellStyle name="Comma 209" xfId="612"/>
    <cellStyle name="Comma 209 2" xfId="613"/>
    <cellStyle name="Comma 21" xfId="614"/>
    <cellStyle name="Comma 21 2" xfId="615"/>
    <cellStyle name="Comma 21 2 2" xfId="616"/>
    <cellStyle name="Comma 21 3" xfId="617"/>
    <cellStyle name="Comma 21 3 2" xfId="618"/>
    <cellStyle name="Comma 21 4" xfId="619"/>
    <cellStyle name="Comma 210" xfId="620"/>
    <cellStyle name="Comma 210 2" xfId="621"/>
    <cellStyle name="Comma 211" xfId="622"/>
    <cellStyle name="Comma 211 2" xfId="623"/>
    <cellStyle name="Comma 212" xfId="624"/>
    <cellStyle name="Comma 212 2" xfId="625"/>
    <cellStyle name="Comma 213" xfId="626"/>
    <cellStyle name="Comma 213 2" xfId="627"/>
    <cellStyle name="Comma 214" xfId="628"/>
    <cellStyle name="Comma 214 2" xfId="629"/>
    <cellStyle name="Comma 215" xfId="630"/>
    <cellStyle name="Comma 215 2" xfId="631"/>
    <cellStyle name="Comma 216" xfId="632"/>
    <cellStyle name="Comma 216 2" xfId="633"/>
    <cellStyle name="Comma 217" xfId="634"/>
    <cellStyle name="Comma 217 2" xfId="635"/>
    <cellStyle name="Comma 218" xfId="636"/>
    <cellStyle name="Comma 218 2" xfId="637"/>
    <cellStyle name="Comma 219" xfId="638"/>
    <cellStyle name="Comma 219 2" xfId="639"/>
    <cellStyle name="Comma 22" xfId="640"/>
    <cellStyle name="Comma 22 2" xfId="641"/>
    <cellStyle name="Comma 22 2 2" xfId="642"/>
    <cellStyle name="Comma 22 3" xfId="643"/>
    <cellStyle name="Comma 22 3 2" xfId="644"/>
    <cellStyle name="Comma 22 4" xfId="645"/>
    <cellStyle name="Comma 220" xfId="646"/>
    <cellStyle name="Comma 220 2" xfId="647"/>
    <cellStyle name="Comma 221" xfId="648"/>
    <cellStyle name="Comma 221 2" xfId="649"/>
    <cellStyle name="Comma 222" xfId="650"/>
    <cellStyle name="Comma 222 2" xfId="651"/>
    <cellStyle name="Comma 222 2 2" xfId="652"/>
    <cellStyle name="Comma 222 3" xfId="653"/>
    <cellStyle name="Comma 222 3 2" xfId="654"/>
    <cellStyle name="Comma 222 4" xfId="655"/>
    <cellStyle name="Comma 222 4 2" xfId="656"/>
    <cellStyle name="Comma 222 4 3" xfId="657"/>
    <cellStyle name="Comma 222 4 4" xfId="658"/>
    <cellStyle name="Comma 222 4 4 2" xfId="659"/>
    <cellStyle name="Comma 222 5" xfId="660"/>
    <cellStyle name="Comma 223" xfId="661"/>
    <cellStyle name="Comma 223 2" xfId="662"/>
    <cellStyle name="Comma 223 2 2" xfId="663"/>
    <cellStyle name="Comma 223 3" xfId="664"/>
    <cellStyle name="Comma 223 3 2" xfId="665"/>
    <cellStyle name="Comma 223 4" xfId="666"/>
    <cellStyle name="Comma 223 4 2" xfId="667"/>
    <cellStyle name="Comma 224" xfId="668"/>
    <cellStyle name="Comma 224 2" xfId="669"/>
    <cellStyle name="Comma 225" xfId="670"/>
    <cellStyle name="Comma 225 2" xfId="671"/>
    <cellStyle name="Comma 226" xfId="672"/>
    <cellStyle name="Comma 226 2" xfId="673"/>
    <cellStyle name="Comma 226 2 2" xfId="674"/>
    <cellStyle name="Comma 226 3" xfId="675"/>
    <cellStyle name="Comma 226 3 2" xfId="676"/>
    <cellStyle name="Comma 227" xfId="677"/>
    <cellStyle name="Comma 227 2" xfId="678"/>
    <cellStyle name="Comma 228" xfId="679"/>
    <cellStyle name="Comma 228 2" xfId="680"/>
    <cellStyle name="Comma 229" xfId="681"/>
    <cellStyle name="Comma 229 2" xfId="682"/>
    <cellStyle name="Comma 23" xfId="683"/>
    <cellStyle name="Comma 23 2" xfId="684"/>
    <cellStyle name="Comma 23 2 2" xfId="685"/>
    <cellStyle name="Comma 23 3" xfId="686"/>
    <cellStyle name="Comma 23 3 2" xfId="687"/>
    <cellStyle name="Comma 23 4" xfId="688"/>
    <cellStyle name="Comma 230" xfId="689"/>
    <cellStyle name="Comma 230 2" xfId="690"/>
    <cellStyle name="Comma 231" xfId="691"/>
    <cellStyle name="Comma 231 2" xfId="692"/>
    <cellStyle name="Comma 232" xfId="693"/>
    <cellStyle name="Comma 232 2" xfId="694"/>
    <cellStyle name="Comma 233" xfId="695"/>
    <cellStyle name="Comma 233 2" xfId="696"/>
    <cellStyle name="Comma 234" xfId="697"/>
    <cellStyle name="Comma 234 2" xfId="698"/>
    <cellStyle name="Comma 235" xfId="699"/>
    <cellStyle name="Comma 235 2" xfId="700"/>
    <cellStyle name="Comma 236" xfId="701"/>
    <cellStyle name="Comma 236 2" xfId="702"/>
    <cellStyle name="Comma 237" xfId="703"/>
    <cellStyle name="Comma 237 2" xfId="704"/>
    <cellStyle name="Comma 238" xfId="705"/>
    <cellStyle name="Comma 238 2" xfId="706"/>
    <cellStyle name="Comma 239" xfId="707"/>
    <cellStyle name="Comma 239 2" xfId="708"/>
    <cellStyle name="Comma 24" xfId="709"/>
    <cellStyle name="Comma 24 2" xfId="710"/>
    <cellStyle name="Comma 24 2 2" xfId="711"/>
    <cellStyle name="Comma 24 3" xfId="712"/>
    <cellStyle name="Comma 24 3 2" xfId="713"/>
    <cellStyle name="Comma 24 4" xfId="714"/>
    <cellStyle name="Comma 240" xfId="715"/>
    <cellStyle name="Comma 240 2" xfId="716"/>
    <cellStyle name="Comma 241" xfId="717"/>
    <cellStyle name="Comma 241 2" xfId="718"/>
    <cellStyle name="Comma 242" xfId="719"/>
    <cellStyle name="Comma 242 2" xfId="720"/>
    <cellStyle name="Comma 243" xfId="721"/>
    <cellStyle name="Comma 243 2" xfId="722"/>
    <cellStyle name="Comma 244" xfId="723"/>
    <cellStyle name="Comma 244 2" xfId="724"/>
    <cellStyle name="Comma 245" xfId="725"/>
    <cellStyle name="Comma 245 2" xfId="726"/>
    <cellStyle name="Comma 246" xfId="727"/>
    <cellStyle name="Comma 246 2" xfId="728"/>
    <cellStyle name="Comma 247" xfId="729"/>
    <cellStyle name="Comma 247 2" xfId="730"/>
    <cellStyle name="Comma 248" xfId="731"/>
    <cellStyle name="Comma 248 2" xfId="732"/>
    <cellStyle name="Comma 249" xfId="733"/>
    <cellStyle name="Comma 249 2" xfId="734"/>
    <cellStyle name="Comma 25" xfId="735"/>
    <cellStyle name="Comma 25 2" xfId="736"/>
    <cellStyle name="Comma 25 2 2" xfId="737"/>
    <cellStyle name="Comma 25 3" xfId="738"/>
    <cellStyle name="Comma 25 3 2" xfId="739"/>
    <cellStyle name="Comma 25 4" xfId="740"/>
    <cellStyle name="Comma 250" xfId="741"/>
    <cellStyle name="Comma 250 2" xfId="742"/>
    <cellStyle name="Comma 251" xfId="743"/>
    <cellStyle name="Comma 251 2" xfId="744"/>
    <cellStyle name="Comma 252" xfId="745"/>
    <cellStyle name="Comma 252 2" xfId="746"/>
    <cellStyle name="Comma 253" xfId="747"/>
    <cellStyle name="Comma 253 2" xfId="748"/>
    <cellStyle name="Comma 254" xfId="749"/>
    <cellStyle name="Comma 254 2" xfId="750"/>
    <cellStyle name="Comma 255" xfId="751"/>
    <cellStyle name="Comma 255 2" xfId="752"/>
    <cellStyle name="Comma 256" xfId="753"/>
    <cellStyle name="Comma 256 2" xfId="754"/>
    <cellStyle name="Comma 257" xfId="755"/>
    <cellStyle name="Comma 257 2" xfId="756"/>
    <cellStyle name="Comma 258" xfId="757"/>
    <cellStyle name="Comma 258 2" xfId="758"/>
    <cellStyle name="Comma 259" xfId="759"/>
    <cellStyle name="Comma 259 2" xfId="760"/>
    <cellStyle name="Comma 26" xfId="761"/>
    <cellStyle name="Comma 26 2" xfId="762"/>
    <cellStyle name="Comma 26 2 2" xfId="763"/>
    <cellStyle name="Comma 26 3" xfId="764"/>
    <cellStyle name="Comma 26 3 2" xfId="765"/>
    <cellStyle name="Comma 26 4" xfId="766"/>
    <cellStyle name="Comma 260" xfId="767"/>
    <cellStyle name="Comma 260 2" xfId="768"/>
    <cellStyle name="Comma 261" xfId="769"/>
    <cellStyle name="Comma 261 2" xfId="770"/>
    <cellStyle name="Comma 262" xfId="771"/>
    <cellStyle name="Comma 262 2" xfId="772"/>
    <cellStyle name="Comma 263" xfId="773"/>
    <cellStyle name="Comma 263 2" xfId="774"/>
    <cellStyle name="Comma 264" xfId="775"/>
    <cellStyle name="Comma 264 2" xfId="776"/>
    <cellStyle name="Comma 265" xfId="777"/>
    <cellStyle name="Comma 265 2" xfId="778"/>
    <cellStyle name="Comma 266" xfId="779"/>
    <cellStyle name="Comma 266 2" xfId="780"/>
    <cellStyle name="Comma 267" xfId="781"/>
    <cellStyle name="Comma 267 2" xfId="782"/>
    <cellStyle name="Comma 268" xfId="783"/>
    <cellStyle name="Comma 268 2" xfId="784"/>
    <cellStyle name="Comma 269" xfId="785"/>
    <cellStyle name="Comma 269 2" xfId="786"/>
    <cellStyle name="Comma 27" xfId="787"/>
    <cellStyle name="Comma 27 2" xfId="788"/>
    <cellStyle name="Comma 27 2 2" xfId="789"/>
    <cellStyle name="Comma 27 3" xfId="790"/>
    <cellStyle name="Comma 27 3 2" xfId="791"/>
    <cellStyle name="Comma 27 4" xfId="792"/>
    <cellStyle name="Comma 270" xfId="793"/>
    <cellStyle name="Comma 270 2" xfId="794"/>
    <cellStyle name="Comma 271" xfId="795"/>
    <cellStyle name="Comma 271 2" xfId="796"/>
    <cellStyle name="Comma 272" xfId="797"/>
    <cellStyle name="Comma 272 2" xfId="798"/>
    <cellStyle name="Comma 273" xfId="799"/>
    <cellStyle name="Comma 273 2" xfId="800"/>
    <cellStyle name="Comma 274" xfId="801"/>
    <cellStyle name="Comma 274 2" xfId="802"/>
    <cellStyle name="Comma 275" xfId="803"/>
    <cellStyle name="Comma 275 2" xfId="804"/>
    <cellStyle name="Comma 276" xfId="805"/>
    <cellStyle name="Comma 276 2" xfId="806"/>
    <cellStyle name="Comma 277" xfId="807"/>
    <cellStyle name="Comma 277 2" xfId="808"/>
    <cellStyle name="Comma 278" xfId="809"/>
    <cellStyle name="Comma 278 2" xfId="810"/>
    <cellStyle name="Comma 279" xfId="811"/>
    <cellStyle name="Comma 279 2" xfId="812"/>
    <cellStyle name="Comma 28" xfId="813"/>
    <cellStyle name="Comma 28 2" xfId="814"/>
    <cellStyle name="Comma 28 2 2" xfId="815"/>
    <cellStyle name="Comma 28 3" xfId="816"/>
    <cellStyle name="Comma 28 3 2" xfId="817"/>
    <cellStyle name="Comma 28 4" xfId="818"/>
    <cellStyle name="Comma 280" xfId="819"/>
    <cellStyle name="Comma 280 2" xfId="820"/>
    <cellStyle name="Comma 281" xfId="821"/>
    <cellStyle name="Comma 281 2" xfId="822"/>
    <cellStyle name="Comma 282" xfId="823"/>
    <cellStyle name="Comma 282 2" xfId="824"/>
    <cellStyle name="Comma 283" xfId="825"/>
    <cellStyle name="Comma 283 2" xfId="826"/>
    <cellStyle name="Comma 283 2 2" xfId="827"/>
    <cellStyle name="Comma 283 3" xfId="828"/>
    <cellStyle name="Comma 283 3 2" xfId="829"/>
    <cellStyle name="Comma 283 3 3" xfId="830"/>
    <cellStyle name="Comma 283 3 4" xfId="831"/>
    <cellStyle name="Comma 283 3 4 2" xfId="832"/>
    <cellStyle name="Comma 283 4" xfId="833"/>
    <cellStyle name="Comma 284" xfId="834"/>
    <cellStyle name="Comma 284 2" xfId="835"/>
    <cellStyle name="Comma 284 2 2" xfId="836"/>
    <cellStyle name="Comma 284 3" xfId="837"/>
    <cellStyle name="Comma 284 3 2" xfId="838"/>
    <cellStyle name="Comma 284 3 3" xfId="839"/>
    <cellStyle name="Comma 284 3 4" xfId="840"/>
    <cellStyle name="Comma 284 3 4 2" xfId="841"/>
    <cellStyle name="Comma 284 4" xfId="842"/>
    <cellStyle name="Comma 285" xfId="843"/>
    <cellStyle name="Comma 285 2" xfId="844"/>
    <cellStyle name="Comma 285 2 2" xfId="845"/>
    <cellStyle name="Comma 285 3" xfId="846"/>
    <cellStyle name="Comma 285 3 2" xfId="847"/>
    <cellStyle name="Comma 286" xfId="848"/>
    <cellStyle name="Comma 286 2" xfId="849"/>
    <cellStyle name="Comma 286 2 2" xfId="850"/>
    <cellStyle name="Comma 286 3" xfId="851"/>
    <cellStyle name="Comma 286 3 2" xfId="852"/>
    <cellStyle name="Comma 287" xfId="853"/>
    <cellStyle name="Comma 287 2" xfId="854"/>
    <cellStyle name="Comma 288" xfId="855"/>
    <cellStyle name="Comma 288 2" xfId="856"/>
    <cellStyle name="Comma 289" xfId="857"/>
    <cellStyle name="Comma 289 2" xfId="858"/>
    <cellStyle name="Comma 29" xfId="859"/>
    <cellStyle name="Comma 29 2" xfId="860"/>
    <cellStyle name="Comma 29 2 2" xfId="861"/>
    <cellStyle name="Comma 29 3" xfId="862"/>
    <cellStyle name="Comma 29 3 2" xfId="863"/>
    <cellStyle name="Comma 29 4" xfId="864"/>
    <cellStyle name="Comma 290" xfId="865"/>
    <cellStyle name="Comma 290 2" xfId="866"/>
    <cellStyle name="Comma 291" xfId="867"/>
    <cellStyle name="Comma 291 2" xfId="868"/>
    <cellStyle name="Comma 292" xfId="869"/>
    <cellStyle name="Comma 292 2" xfId="870"/>
    <cellStyle name="Comma 293" xfId="871"/>
    <cellStyle name="Comma 293 2" xfId="872"/>
    <cellStyle name="Comma 294" xfId="873"/>
    <cellStyle name="Comma 294 2" xfId="874"/>
    <cellStyle name="Comma 295" xfId="875"/>
    <cellStyle name="Comma 295 2" xfId="876"/>
    <cellStyle name="Comma 296" xfId="877"/>
    <cellStyle name="Comma 296 2" xfId="878"/>
    <cellStyle name="Comma 297" xfId="879"/>
    <cellStyle name="Comma 297 2" xfId="880"/>
    <cellStyle name="Comma 298" xfId="881"/>
    <cellStyle name="Comma 298 2" xfId="882"/>
    <cellStyle name="Comma 299" xfId="883"/>
    <cellStyle name="Comma 299 2" xfId="884"/>
    <cellStyle name="Comma 3" xfId="885"/>
    <cellStyle name="Comma 3 2" xfId="886"/>
    <cellStyle name="Comma 3 2 2" xfId="887"/>
    <cellStyle name="Comma 3 2 2 2" xfId="888"/>
    <cellStyle name="Comma 3 2 2 2 2" xfId="889"/>
    <cellStyle name="Comma 3 2 2 3" xfId="890"/>
    <cellStyle name="Comma 3 2 2 3 2" xfId="891"/>
    <cellStyle name="Comma 3 2 2 4" xfId="892"/>
    <cellStyle name="Comma 3 2 2 4 2" xfId="893"/>
    <cellStyle name="Comma 3 2 2 4 3" xfId="894"/>
    <cellStyle name="Comma 3 2 2 4 4" xfId="895"/>
    <cellStyle name="Comma 3 2 2 4 4 2" xfId="896"/>
    <cellStyle name="Comma 3 2 2 5" xfId="897"/>
    <cellStyle name="Comma 3 2 3" xfId="898"/>
    <cellStyle name="Comma 3 2 3 2" xfId="899"/>
    <cellStyle name="Comma 3 2 3 2 2" xfId="900"/>
    <cellStyle name="Comma 3 2 3 3" xfId="901"/>
    <cellStyle name="Comma 3 2 3 3 2" xfId="902"/>
    <cellStyle name="Comma 3 2 3 4" xfId="903"/>
    <cellStyle name="Comma 3 2 3 4 2" xfId="904"/>
    <cellStyle name="Comma 3 2 3 4 3" xfId="905"/>
    <cellStyle name="Comma 3 2 3 4 4" xfId="906"/>
    <cellStyle name="Comma 3 2 3 4 4 2" xfId="907"/>
    <cellStyle name="Comma 3 2 3 5" xfId="908"/>
    <cellStyle name="Comma 3 2 4" xfId="909"/>
    <cellStyle name="Comma 3 3" xfId="910"/>
    <cellStyle name="Comma 3 3 2" xfId="911"/>
    <cellStyle name="Comma 3 3 2 2" xfId="912"/>
    <cellStyle name="Comma 3 3 3" xfId="913"/>
    <cellStyle name="Comma 3 3 3 2" xfId="914"/>
    <cellStyle name="Comma 3 3 3 2 2" xfId="915"/>
    <cellStyle name="Comma 3 3 3 3" xfId="916"/>
    <cellStyle name="Comma 3 3 3 3 2" xfId="917"/>
    <cellStyle name="Comma 3 3 3 4" xfId="918"/>
    <cellStyle name="Comma 3 3 3 4 2" xfId="919"/>
    <cellStyle name="Comma 3 3 3 4 3" xfId="920"/>
    <cellStyle name="Comma 3 3 3 4 4" xfId="921"/>
    <cellStyle name="Comma 3 3 3 4 4 2" xfId="922"/>
    <cellStyle name="Comma 3 3 3 5" xfId="923"/>
    <cellStyle name="Comma 3 3 4" xfId="924"/>
    <cellStyle name="Comma 3 4" xfId="925"/>
    <cellStyle name="Comma 3 4 2" xfId="926"/>
    <cellStyle name="Comma 3 4 2 2" xfId="927"/>
    <cellStyle name="Comma 3 4 3" xfId="928"/>
    <cellStyle name="Comma 3 4 3 2" xfId="929"/>
    <cellStyle name="Comma 3 4 4" xfId="930"/>
    <cellStyle name="Comma 3 4 4 2" xfId="931"/>
    <cellStyle name="Comma 3 4 4 3" xfId="932"/>
    <cellStyle name="Comma 3 4 4 4" xfId="933"/>
    <cellStyle name="Comma 3 4 4 4 2" xfId="934"/>
    <cellStyle name="Comma 3 4 5" xfId="935"/>
    <cellStyle name="Comma 3 5" xfId="936"/>
    <cellStyle name="Comma 3 5 2" xfId="937"/>
    <cellStyle name="Comma 3 5 2 2" xfId="938"/>
    <cellStyle name="Comma 3 5 3" xfId="939"/>
    <cellStyle name="Comma 3 5 3 2" xfId="940"/>
    <cellStyle name="Comma 3 5 4" xfId="941"/>
    <cellStyle name="Comma 3 5 4 2" xfId="942"/>
    <cellStyle name="Comma 3 5 4 3" xfId="943"/>
    <cellStyle name="Comma 3 5 4 4" xfId="944"/>
    <cellStyle name="Comma 3 5 4 4 2" xfId="945"/>
    <cellStyle name="Comma 3 5 5" xfId="946"/>
    <cellStyle name="Comma 3 6" xfId="947"/>
    <cellStyle name="Comma 3 6 2" xfId="948"/>
    <cellStyle name="Comma 3 6 3" xfId="949"/>
    <cellStyle name="Comma 3 6 4" xfId="950"/>
    <cellStyle name="Comma 3 6 4 2" xfId="951"/>
    <cellStyle name="Comma 3 7" xfId="952"/>
    <cellStyle name="Comma 3 7 2" xfId="953"/>
    <cellStyle name="Comma 3 7 2 2" xfId="954"/>
    <cellStyle name="Comma 3 7 2 2 2" xfId="955"/>
    <cellStyle name="Comma 3 7 3" xfId="956"/>
    <cellStyle name="Comma 3 7 4" xfId="957"/>
    <cellStyle name="Comma 3 7 5" xfId="958"/>
    <cellStyle name="Comma 3 7 5 2" xfId="959"/>
    <cellStyle name="Comma 3 8" xfId="960"/>
    <cellStyle name="Comma 3 9" xfId="961"/>
    <cellStyle name="Comma 3 9 2" xfId="962"/>
    <cellStyle name="Comma 30" xfId="963"/>
    <cellStyle name="Comma 30 2" xfId="964"/>
    <cellStyle name="Comma 30 2 2" xfId="965"/>
    <cellStyle name="Comma 30 3" xfId="966"/>
    <cellStyle name="Comma 30 3 2" xfId="967"/>
    <cellStyle name="Comma 30 4" xfId="968"/>
    <cellStyle name="Comma 300" xfId="969"/>
    <cellStyle name="Comma 300 2" xfId="970"/>
    <cellStyle name="Comma 301" xfId="971"/>
    <cellStyle name="Comma 301 2" xfId="972"/>
    <cellStyle name="Comma 301 3" xfId="973"/>
    <cellStyle name="Comma 301 3 2" xfId="974"/>
    <cellStyle name="Comma 302" xfId="975"/>
    <cellStyle name="Comma 302 2" xfId="976"/>
    <cellStyle name="Comma 302 3" xfId="977"/>
    <cellStyle name="Comma 302 3 2" xfId="978"/>
    <cellStyle name="Comma 303" xfId="979"/>
    <cellStyle name="Comma 303 2" xfId="980"/>
    <cellStyle name="Comma 303 3" xfId="981"/>
    <cellStyle name="Comma 303 3 2" xfId="982"/>
    <cellStyle name="Comma 304" xfId="983"/>
    <cellStyle name="Comma 304 2" xfId="984"/>
    <cellStyle name="Comma 304 3" xfId="985"/>
    <cellStyle name="Comma 304 4" xfId="986"/>
    <cellStyle name="Comma 304 4 2" xfId="987"/>
    <cellStyle name="Comma 305" xfId="988"/>
    <cellStyle name="Comma 305 2" xfId="989"/>
    <cellStyle name="Comma 305 3" xfId="990"/>
    <cellStyle name="Comma 305 3 2" xfId="991"/>
    <cellStyle name="Comma 306" xfId="992"/>
    <cellStyle name="Comma 306 2" xfId="993"/>
    <cellStyle name="Comma 306 2 2" xfId="994"/>
    <cellStyle name="Comma 306 2 2 2" xfId="995"/>
    <cellStyle name="Comma 306 3" xfId="996"/>
    <cellStyle name="Comma 306 4" xfId="997"/>
    <cellStyle name="Comma 306 4 2" xfId="998"/>
    <cellStyle name="Comma 306 5" xfId="999"/>
    <cellStyle name="Comma 306 5 2" xfId="1000"/>
    <cellStyle name="Comma 307" xfId="1001"/>
    <cellStyle name="Comma 307 2" xfId="1002"/>
    <cellStyle name="Comma 307 2 2" xfId="1003"/>
    <cellStyle name="Comma 307 2 2 2" xfId="1004"/>
    <cellStyle name="Comma 307 3" xfId="1005"/>
    <cellStyle name="Comma 307 4" xfId="1006"/>
    <cellStyle name="Comma 307 4 2" xfId="1007"/>
    <cellStyle name="Comma 307 5" xfId="1008"/>
    <cellStyle name="Comma 307 5 2" xfId="1009"/>
    <cellStyle name="Comma 308" xfId="1010"/>
    <cellStyle name="Comma 308 2" xfId="1011"/>
    <cellStyle name="Comma 308 2 2" xfId="1012"/>
    <cellStyle name="Comma 308 2 2 2" xfId="1013"/>
    <cellStyle name="Comma 308 3" xfId="1014"/>
    <cellStyle name="Comma 308 4" xfId="1015"/>
    <cellStyle name="Comma 308 4 2" xfId="1016"/>
    <cellStyle name="Comma 308 5" xfId="1017"/>
    <cellStyle name="Comma 308 5 2" xfId="1018"/>
    <cellStyle name="Comma 309" xfId="1019"/>
    <cellStyle name="Comma 309 2" xfId="1020"/>
    <cellStyle name="Comma 309 2 2" xfId="1021"/>
    <cellStyle name="Comma 309 2 2 2" xfId="1022"/>
    <cellStyle name="Comma 309 3" xfId="1023"/>
    <cellStyle name="Comma 309 4" xfId="1024"/>
    <cellStyle name="Comma 309 4 2" xfId="1025"/>
    <cellStyle name="Comma 309 5" xfId="1026"/>
    <cellStyle name="Comma 309 5 2" xfId="1027"/>
    <cellStyle name="Comma 31" xfId="1028"/>
    <cellStyle name="Comma 31 2" xfId="1029"/>
    <cellStyle name="Comma 31 2 2" xfId="1030"/>
    <cellStyle name="Comma 31 3" xfId="1031"/>
    <cellStyle name="Comma 31 3 2" xfId="1032"/>
    <cellStyle name="Comma 31 4" xfId="1033"/>
    <cellStyle name="Comma 310" xfId="1034"/>
    <cellStyle name="Comma 310 2" xfId="1035"/>
    <cellStyle name="Comma 310 2 2" xfId="1036"/>
    <cellStyle name="Comma 310 2 2 2" xfId="1037"/>
    <cellStyle name="Comma 310 3" xfId="1038"/>
    <cellStyle name="Comma 310 4" xfId="1039"/>
    <cellStyle name="Comma 310 4 2" xfId="1040"/>
    <cellStyle name="Comma 310 5" xfId="1041"/>
    <cellStyle name="Comma 310 5 2" xfId="1042"/>
    <cellStyle name="Comma 311" xfId="1043"/>
    <cellStyle name="Comma 311 2" xfId="1044"/>
    <cellStyle name="Comma 311 2 2" xfId="1045"/>
    <cellStyle name="Comma 311 2 2 2" xfId="1046"/>
    <cellStyle name="Comma 311 3" xfId="1047"/>
    <cellStyle name="Comma 311 4" xfId="1048"/>
    <cellStyle name="Comma 311 4 2" xfId="1049"/>
    <cellStyle name="Comma 311 5" xfId="1050"/>
    <cellStyle name="Comma 311 5 2" xfId="1051"/>
    <cellStyle name="Comma 312" xfId="1052"/>
    <cellStyle name="Comma 312 2" xfId="1053"/>
    <cellStyle name="Comma 312 2 2" xfId="1054"/>
    <cellStyle name="Comma 312 2 2 2" xfId="1055"/>
    <cellStyle name="Comma 312 3" xfId="1056"/>
    <cellStyle name="Comma 312 4" xfId="1057"/>
    <cellStyle name="Comma 312 4 2" xfId="1058"/>
    <cellStyle name="Comma 312 5" xfId="1059"/>
    <cellStyle name="Comma 312 5 2" xfId="1060"/>
    <cellStyle name="Comma 313" xfId="1061"/>
    <cellStyle name="Comma 313 2" xfId="1062"/>
    <cellStyle name="Comma 313 2 2" xfId="1063"/>
    <cellStyle name="Comma 313 2 2 2" xfId="1064"/>
    <cellStyle name="Comma 313 3" xfId="1065"/>
    <cellStyle name="Comma 313 4" xfId="1066"/>
    <cellStyle name="Comma 313 4 2" xfId="1067"/>
    <cellStyle name="Comma 313 5" xfId="1068"/>
    <cellStyle name="Comma 313 5 2" xfId="1069"/>
    <cellStyle name="Comma 314" xfId="1070"/>
    <cellStyle name="Comma 314 2" xfId="1071"/>
    <cellStyle name="Comma 314 3" xfId="1072"/>
    <cellStyle name="Comma 314 4" xfId="1073"/>
    <cellStyle name="Comma 314 4 2" xfId="1074"/>
    <cellStyle name="Comma 315" xfId="1075"/>
    <cellStyle name="Comma 315 2" xfId="1076"/>
    <cellStyle name="Comma 315 3" xfId="1077"/>
    <cellStyle name="Comma 315 4" xfId="1078"/>
    <cellStyle name="Comma 315 4 2" xfId="1079"/>
    <cellStyle name="Comma 316" xfId="1080"/>
    <cellStyle name="Comma 316 2" xfId="1081"/>
    <cellStyle name="Comma 316 3" xfId="1082"/>
    <cellStyle name="Comma 316 4" xfId="1083"/>
    <cellStyle name="Comma 316 4 2" xfId="1084"/>
    <cellStyle name="Comma 317" xfId="1085"/>
    <cellStyle name="Comma 317 2" xfId="1086"/>
    <cellStyle name="Comma 317 3" xfId="1087"/>
    <cellStyle name="Comma 317 4" xfId="1088"/>
    <cellStyle name="Comma 317 4 2" xfId="1089"/>
    <cellStyle name="Comma 318" xfId="1090"/>
    <cellStyle name="Comma 318 2" xfId="1091"/>
    <cellStyle name="Comma 318 3" xfId="1092"/>
    <cellStyle name="Comma 318 4" xfId="1093"/>
    <cellStyle name="Comma 318 4 2" xfId="1094"/>
    <cellStyle name="Comma 319" xfId="1095"/>
    <cellStyle name="Comma 319 2" xfId="1096"/>
    <cellStyle name="Comma 319 3" xfId="1097"/>
    <cellStyle name="Comma 319 4" xfId="1098"/>
    <cellStyle name="Comma 319 4 2" xfId="1099"/>
    <cellStyle name="Comma 32" xfId="1100"/>
    <cellStyle name="Comma 32 2" xfId="1101"/>
    <cellStyle name="Comma 32 2 2" xfId="1102"/>
    <cellStyle name="Comma 32 3" xfId="1103"/>
    <cellStyle name="Comma 32 3 2" xfId="1104"/>
    <cellStyle name="Comma 32 4" xfId="1105"/>
    <cellStyle name="Comma 320" xfId="1106"/>
    <cellStyle name="Comma 320 2" xfId="1107"/>
    <cellStyle name="Comma 320 3" xfId="1108"/>
    <cellStyle name="Comma 320 4" xfId="1109"/>
    <cellStyle name="Comma 320 4 2" xfId="1110"/>
    <cellStyle name="Comma 321" xfId="1111"/>
    <cellStyle name="Comma 321 2" xfId="1112"/>
    <cellStyle name="Comma 321 3" xfId="1113"/>
    <cellStyle name="Comma 321 4" xfId="1114"/>
    <cellStyle name="Comma 321 4 2" xfId="1115"/>
    <cellStyle name="Comma 322" xfId="1116"/>
    <cellStyle name="Comma 322 2" xfId="1117"/>
    <cellStyle name="Comma 322 3" xfId="1118"/>
    <cellStyle name="Comma 322 4" xfId="1119"/>
    <cellStyle name="Comma 322 4 2" xfId="1120"/>
    <cellStyle name="Comma 323" xfId="1121"/>
    <cellStyle name="Comma 323 2" xfId="1122"/>
    <cellStyle name="Comma 323 3" xfId="1123"/>
    <cellStyle name="Comma 323 4" xfId="1124"/>
    <cellStyle name="Comma 323 4 2" xfId="1125"/>
    <cellStyle name="Comma 324" xfId="1126"/>
    <cellStyle name="Comma 324 2" xfId="1127"/>
    <cellStyle name="Comma 324 3" xfId="1128"/>
    <cellStyle name="Comma 324 4" xfId="1129"/>
    <cellStyle name="Comma 324 4 2" xfId="1130"/>
    <cellStyle name="Comma 325" xfId="1131"/>
    <cellStyle name="Comma 325 2" xfId="1132"/>
    <cellStyle name="Comma 325 3" xfId="1133"/>
    <cellStyle name="Comma 325 4" xfId="1134"/>
    <cellStyle name="Comma 325 4 2" xfId="1135"/>
    <cellStyle name="Comma 326" xfId="1136"/>
    <cellStyle name="Comma 326 2" xfId="1137"/>
    <cellStyle name="Comma 326 3" xfId="1138"/>
    <cellStyle name="Comma 326 4" xfId="1139"/>
    <cellStyle name="Comma 326 4 2" xfId="1140"/>
    <cellStyle name="Comma 327" xfId="1141"/>
    <cellStyle name="Comma 328" xfId="1142"/>
    <cellStyle name="Comma 329" xfId="1143"/>
    <cellStyle name="Comma 33" xfId="1144"/>
    <cellStyle name="Comma 33 2" xfId="1145"/>
    <cellStyle name="Comma 33 2 2" xfId="1146"/>
    <cellStyle name="Comma 33 2 3" xfId="1147"/>
    <cellStyle name="Comma 33 2 4" xfId="1148"/>
    <cellStyle name="Comma 33 2 4 2" xfId="1149"/>
    <cellStyle name="Comma 33 2 4 3" xfId="1150"/>
    <cellStyle name="Comma 33 2 4 4" xfId="1151"/>
    <cellStyle name="Comma 33 2 4 4 2" xfId="1152"/>
    <cellStyle name="Comma 33 2 5" xfId="1153"/>
    <cellStyle name="Comma 33 3" xfId="1154"/>
    <cellStyle name="Comma 33 3 2" xfId="1155"/>
    <cellStyle name="Comma 33 4" xfId="1156"/>
    <cellStyle name="Comma 33 5" xfId="1157"/>
    <cellStyle name="Comma 33 6" xfId="1158"/>
    <cellStyle name="Comma 33 6 2" xfId="1159"/>
    <cellStyle name="Comma 33 6 3" xfId="1160"/>
    <cellStyle name="Comma 33 6 4" xfId="1161"/>
    <cellStyle name="Comma 33 6 4 2" xfId="1162"/>
    <cellStyle name="Comma 33 7" xfId="1163"/>
    <cellStyle name="Comma 330" xfId="1164"/>
    <cellStyle name="Comma 331" xfId="1165"/>
    <cellStyle name="Comma 332" xfId="1166"/>
    <cellStyle name="Comma 333" xfId="1167"/>
    <cellStyle name="Comma 334" xfId="1168"/>
    <cellStyle name="Comma 335" xfId="1169"/>
    <cellStyle name="Comma 336" xfId="1170"/>
    <cellStyle name="Comma 337" xfId="1171"/>
    <cellStyle name="Comma 338" xfId="1172"/>
    <cellStyle name="Comma 338 2" xfId="1173"/>
    <cellStyle name="Comma 339" xfId="1174"/>
    <cellStyle name="Comma 339 2" xfId="1175"/>
    <cellStyle name="Comma 34" xfId="1176"/>
    <cellStyle name="Comma 34 2" xfId="1177"/>
    <cellStyle name="Comma 34 2 2" xfId="1178"/>
    <cellStyle name="Comma 34 2 2 2" xfId="1179"/>
    <cellStyle name="Comma 34 2 3" xfId="1180"/>
    <cellStyle name="Comma 34 2 3 2" xfId="1181"/>
    <cellStyle name="Comma 34 2 4" xfId="1182"/>
    <cellStyle name="Comma 34 2 4 2" xfId="1183"/>
    <cellStyle name="Comma 34 2 4 3" xfId="1184"/>
    <cellStyle name="Comma 34 2 4 4" xfId="1185"/>
    <cellStyle name="Comma 34 2 4 4 2" xfId="1186"/>
    <cellStyle name="Comma 34 2 5" xfId="1187"/>
    <cellStyle name="Comma 34 3" xfId="1188"/>
    <cellStyle name="Comma 34 3 2" xfId="1189"/>
    <cellStyle name="Comma 34 4" xfId="1190"/>
    <cellStyle name="Comma 34 4 2" xfId="1191"/>
    <cellStyle name="Comma 34 5" xfId="1192"/>
    <cellStyle name="Comma 34 5 2" xfId="1193"/>
    <cellStyle name="Comma 34 6" xfId="1194"/>
    <cellStyle name="Comma 34 6 2" xfId="1195"/>
    <cellStyle name="Comma 34 6 3" xfId="1196"/>
    <cellStyle name="Comma 34 6 4" xfId="1197"/>
    <cellStyle name="Comma 34 6 4 2" xfId="1198"/>
    <cellStyle name="Comma 34 7" xfId="1199"/>
    <cellStyle name="Comma 340" xfId="1200"/>
    <cellStyle name="Comma 35" xfId="1201"/>
    <cellStyle name="Comma 35 2" xfId="1202"/>
    <cellStyle name="Comma 35 2 2" xfId="1203"/>
    <cellStyle name="Comma 35 3" xfId="1204"/>
    <cellStyle name="Comma 35 3 2" xfId="1205"/>
    <cellStyle name="Comma 35 4" xfId="1206"/>
    <cellStyle name="Comma 36" xfId="1207"/>
    <cellStyle name="Comma 36 2" xfId="1208"/>
    <cellStyle name="Comma 36 2 2" xfId="1209"/>
    <cellStyle name="Comma 36 3" xfId="1210"/>
    <cellStyle name="Comma 36 3 2" xfId="1211"/>
    <cellStyle name="Comma 36 4" xfId="1212"/>
    <cellStyle name="Comma 37" xfId="1213"/>
    <cellStyle name="Comma 37 2" xfId="1214"/>
    <cellStyle name="Comma 37 2 2" xfId="1215"/>
    <cellStyle name="Comma 37 3" xfId="1216"/>
    <cellStyle name="Comma 37 3 2" xfId="1217"/>
    <cellStyle name="Comma 37 4" xfId="1218"/>
    <cellStyle name="Comma 38" xfId="1219"/>
    <cellStyle name="Comma 38 2" xfId="1220"/>
    <cellStyle name="Comma 38 2 2" xfId="1221"/>
    <cellStyle name="Comma 38 3" xfId="1222"/>
    <cellStyle name="Comma 38 3 2" xfId="1223"/>
    <cellStyle name="Comma 38 4" xfId="1224"/>
    <cellStyle name="Comma 39" xfId="1225"/>
    <cellStyle name="Comma 39 2" xfId="1226"/>
    <cellStyle name="Comma 39 2 2" xfId="1227"/>
    <cellStyle name="Comma 39 3" xfId="1228"/>
    <cellStyle name="Comma 39 3 2" xfId="1229"/>
    <cellStyle name="Comma 39 4" xfId="1230"/>
    <cellStyle name="Comma 4" xfId="1231"/>
    <cellStyle name="Comma 4 2" xfId="1232"/>
    <cellStyle name="Comma 4 2 2" xfId="1233"/>
    <cellStyle name="Comma 4 3" xfId="1234"/>
    <cellStyle name="Comma 4 3 2" xfId="1235"/>
    <cellStyle name="Comma 4 3 2 2" xfId="1236"/>
    <cellStyle name="Comma 4 3 2 2 2" xfId="1237"/>
    <cellStyle name="Comma 4 3 2 3" xfId="1238"/>
    <cellStyle name="Comma 4 3 3" xfId="1239"/>
    <cellStyle name="Comma 4 4" xfId="1240"/>
    <cellStyle name="Comma 4 4 2" xfId="1241"/>
    <cellStyle name="Comma 4 5" xfId="1242"/>
    <cellStyle name="Comma 4 5 2" xfId="1243"/>
    <cellStyle name="Comma 4 5 2 2" xfId="1244"/>
    <cellStyle name="Comma 4 5 3" xfId="1245"/>
    <cellStyle name="Comma 4 5 3 2" xfId="1246"/>
    <cellStyle name="Comma 4 5 3 3" xfId="1247"/>
    <cellStyle name="Comma 4 5 3 4" xfId="1248"/>
    <cellStyle name="Comma 4 5 3 4 2" xfId="1249"/>
    <cellStyle name="Comma 4 5 4" xfId="1250"/>
    <cellStyle name="Comma 4 6" xfId="1251"/>
    <cellStyle name="Comma 4 6 2" xfId="1252"/>
    <cellStyle name="Comma 4 7" xfId="1253"/>
    <cellStyle name="Comma 4 7 2" xfId="1254"/>
    <cellStyle name="Comma 4 7 3" xfId="1255"/>
    <cellStyle name="Comma 4 7 4" xfId="1256"/>
    <cellStyle name="Comma 4 7 4 2" xfId="1257"/>
    <cellStyle name="Comma 4 8" xfId="1258"/>
    <cellStyle name="Comma 40" xfId="1259"/>
    <cellStyle name="Comma 40 2" xfId="1260"/>
    <cellStyle name="Comma 40 2 2" xfId="1261"/>
    <cellStyle name="Comma 40 2 2 2" xfId="1262"/>
    <cellStyle name="Comma 40 2 3" xfId="1263"/>
    <cellStyle name="Comma 40 3" xfId="1264"/>
    <cellStyle name="Comma 40 3 2" xfId="1265"/>
    <cellStyle name="Comma 40 4" xfId="1266"/>
    <cellStyle name="Comma 40 4 2" xfId="1267"/>
    <cellStyle name="Comma 40 5" xfId="1268"/>
    <cellStyle name="Comma 40 5 2" xfId="1269"/>
    <cellStyle name="Comma 40 6" xfId="1270"/>
    <cellStyle name="Comma 40 6 2" xfId="1271"/>
    <cellStyle name="Comma 40 7" xfId="1272"/>
    <cellStyle name="Comma 41" xfId="1273"/>
    <cellStyle name="Comma 41 2" xfId="1274"/>
    <cellStyle name="Comma 41 2 2" xfId="1275"/>
    <cellStyle name="Comma 41 3" xfId="1276"/>
    <cellStyle name="Comma 41 3 2" xfId="1277"/>
    <cellStyle name="Comma 41 4" xfId="1278"/>
    <cellStyle name="Comma 42" xfId="1279"/>
    <cellStyle name="Comma 42 2" xfId="1280"/>
    <cellStyle name="Comma 42 2 2" xfId="1281"/>
    <cellStyle name="Comma 42 3" xfId="1282"/>
    <cellStyle name="Comma 42 3 2" xfId="1283"/>
    <cellStyle name="Comma 42 4" xfId="1284"/>
    <cellStyle name="Comma 43" xfId="1285"/>
    <cellStyle name="Comma 43 2" xfId="1286"/>
    <cellStyle name="Comma 43 2 2" xfId="1287"/>
    <cellStyle name="Comma 43 3" xfId="1288"/>
    <cellStyle name="Comma 43 3 2" xfId="1289"/>
    <cellStyle name="Comma 43 4" xfId="1290"/>
    <cellStyle name="Comma 44" xfId="1291"/>
    <cellStyle name="Comma 44 2" xfId="1292"/>
    <cellStyle name="Comma 44 2 2" xfId="1293"/>
    <cellStyle name="Comma 44 3" xfId="1294"/>
    <cellStyle name="Comma 44 3 2" xfId="1295"/>
    <cellStyle name="Comma 44 4" xfId="1296"/>
    <cellStyle name="Comma 45" xfId="1297"/>
    <cellStyle name="Comma 45 2" xfId="1298"/>
    <cellStyle name="Comma 45 2 2" xfId="1299"/>
    <cellStyle name="Comma 45 3" xfId="1300"/>
    <cellStyle name="Comma 45 3 2" xfId="1301"/>
    <cellStyle name="Comma 45 4" xfId="1302"/>
    <cellStyle name="Comma 46" xfId="1303"/>
    <cellStyle name="Comma 46 2" xfId="1304"/>
    <cellStyle name="Comma 46 2 2" xfId="1305"/>
    <cellStyle name="Comma 46 3" xfId="1306"/>
    <cellStyle name="Comma 46 3 2" xfId="1307"/>
    <cellStyle name="Comma 46 4" xfId="1308"/>
    <cellStyle name="Comma 47" xfId="1309"/>
    <cellStyle name="Comma 47 2" xfId="1310"/>
    <cellStyle name="Comma 47 2 2" xfId="1311"/>
    <cellStyle name="Comma 47 3" xfId="1312"/>
    <cellStyle name="Comma 47 3 2" xfId="1313"/>
    <cellStyle name="Comma 47 4" xfId="1314"/>
    <cellStyle name="Comma 48" xfId="1315"/>
    <cellStyle name="Comma 48 2" xfId="1316"/>
    <cellStyle name="Comma 48 2 2" xfId="1317"/>
    <cellStyle name="Comma 48 3" xfId="1318"/>
    <cellStyle name="Comma 48 3 2" xfId="1319"/>
    <cellStyle name="Comma 48 4" xfId="1320"/>
    <cellStyle name="Comma 49" xfId="1321"/>
    <cellStyle name="Comma 49 2" xfId="1322"/>
    <cellStyle name="Comma 49 2 2" xfId="1323"/>
    <cellStyle name="Comma 49 3" xfId="1324"/>
    <cellStyle name="Comma 49 3 2" xfId="1325"/>
    <cellStyle name="Comma 49 4" xfId="1326"/>
    <cellStyle name="Comma 5" xfId="1327"/>
    <cellStyle name="Comma 5 2" xfId="1328"/>
    <cellStyle name="Comma 5 2 2" xfId="1329"/>
    <cellStyle name="Comma 5 2 2 2" xfId="1330"/>
    <cellStyle name="Comma 5 2 2 2 2" xfId="1331"/>
    <cellStyle name="Comma 5 2 2 3" xfId="1332"/>
    <cellStyle name="Comma 5 2 3" xfId="1333"/>
    <cellStyle name="Comma 5 2 3 2" xfId="1334"/>
    <cellStyle name="Comma 5 2 4" xfId="1335"/>
    <cellStyle name="Comma 5 3" xfId="1336"/>
    <cellStyle name="Comma 5 3 2" xfId="1337"/>
    <cellStyle name="Comma 5 3 2 2" xfId="1338"/>
    <cellStyle name="Comma 5 3 3" xfId="1339"/>
    <cellStyle name="Comma 5 4" xfId="1340"/>
    <cellStyle name="Comma 5 4 2" xfId="1341"/>
    <cellStyle name="Comma 5 4 3" xfId="1342"/>
    <cellStyle name="Comma 5 4 4" xfId="1343"/>
    <cellStyle name="Comma 5 4 4 2" xfId="1344"/>
    <cellStyle name="Comma 5 5" xfId="1345"/>
    <cellStyle name="Comma 50" xfId="1346"/>
    <cellStyle name="Comma 50 2" xfId="1347"/>
    <cellStyle name="Comma 50 2 2" xfId="1348"/>
    <cellStyle name="Comma 50 3" xfId="1349"/>
    <cellStyle name="Comma 50 3 2" xfId="1350"/>
    <cellStyle name="Comma 50 4" xfId="1351"/>
    <cellStyle name="Comma 51" xfId="1352"/>
    <cellStyle name="Comma 51 2" xfId="1353"/>
    <cellStyle name="Comma 51 2 2" xfId="1354"/>
    <cellStyle name="Comma 51 3" xfId="1355"/>
    <cellStyle name="Comma 51 3 2" xfId="1356"/>
    <cellStyle name="Comma 51 4" xfId="1357"/>
    <cellStyle name="Comma 52" xfId="1358"/>
    <cellStyle name="Comma 52 2" xfId="1359"/>
    <cellStyle name="Comma 52 2 2" xfId="1360"/>
    <cellStyle name="Comma 52 3" xfId="1361"/>
    <cellStyle name="Comma 52 3 2" xfId="1362"/>
    <cellStyle name="Comma 52 4" xfId="1363"/>
    <cellStyle name="Comma 53" xfId="1364"/>
    <cellStyle name="Comma 53 2" xfId="1365"/>
    <cellStyle name="Comma 53 2 2" xfId="1366"/>
    <cellStyle name="Comma 53 3" xfId="1367"/>
    <cellStyle name="Comma 53 3 2" xfId="1368"/>
    <cellStyle name="Comma 53 4" xfId="1369"/>
    <cellStyle name="Comma 53 4 2" xfId="1370"/>
    <cellStyle name="Comma 53 5" xfId="1371"/>
    <cellStyle name="Comma 54" xfId="1372"/>
    <cellStyle name="Comma 54 2" xfId="1373"/>
    <cellStyle name="Comma 54 2 2" xfId="1374"/>
    <cellStyle name="Comma 54 3" xfId="1375"/>
    <cellStyle name="Comma 54 3 2" xfId="1376"/>
    <cellStyle name="Comma 54 4" xfId="1377"/>
    <cellStyle name="Comma 54 4 2" xfId="1378"/>
    <cellStyle name="Comma 54 5" xfId="1379"/>
    <cellStyle name="Comma 55" xfId="1380"/>
    <cellStyle name="Comma 55 2" xfId="1381"/>
    <cellStyle name="Comma 55 2 2" xfId="1382"/>
    <cellStyle name="Comma 55 2 2 2" xfId="1383"/>
    <cellStyle name="Comma 55 2 3" xfId="1384"/>
    <cellStyle name="Comma 55 3" xfId="1385"/>
    <cellStyle name="Comma 55 3 2" xfId="1386"/>
    <cellStyle name="Comma 55 4" xfId="1387"/>
    <cellStyle name="Comma 55 4 2" xfId="1388"/>
    <cellStyle name="Comma 55 5" xfId="1389"/>
    <cellStyle name="Comma 55 5 2" xfId="1390"/>
    <cellStyle name="Comma 56" xfId="1391"/>
    <cellStyle name="Comma 56 2" xfId="1392"/>
    <cellStyle name="Comma 56 2 2" xfId="1393"/>
    <cellStyle name="Comma 56 3" xfId="1394"/>
    <cellStyle name="Comma 56 3 2" xfId="1395"/>
    <cellStyle name="Comma 57" xfId="1396"/>
    <cellStyle name="Comma 57 2" xfId="1397"/>
    <cellStyle name="Comma 57 2 2" xfId="1398"/>
    <cellStyle name="Comma 57 3" xfId="1399"/>
    <cellStyle name="Comma 57 3 2" xfId="1400"/>
    <cellStyle name="Comma 58" xfId="1401"/>
    <cellStyle name="Comma 58 2" xfId="1402"/>
    <cellStyle name="Comma 58 2 2" xfId="1403"/>
    <cellStyle name="Comma 58 3" xfId="1404"/>
    <cellStyle name="Comma 58 3 2" xfId="1405"/>
    <cellStyle name="Comma 59" xfId="1406"/>
    <cellStyle name="Comma 59 2" xfId="1407"/>
    <cellStyle name="Comma 59 2 2" xfId="1408"/>
    <cellStyle name="Comma 59 2 3" xfId="1409"/>
    <cellStyle name="Comma 59 3" xfId="1410"/>
    <cellStyle name="Comma 59 3 2" xfId="1411"/>
    <cellStyle name="Comma 59 3 3" xfId="1412"/>
    <cellStyle name="Comma 59 4" xfId="1413"/>
    <cellStyle name="Comma 59 4 2" xfId="1414"/>
    <cellStyle name="Comma 59 5" xfId="1415"/>
    <cellStyle name="Comma 59 6" xfId="1416"/>
    <cellStyle name="Comma 59 6 2" xfId="1417"/>
    <cellStyle name="Comma 6" xfId="1418"/>
    <cellStyle name="Comma 6 10" xfId="1419"/>
    <cellStyle name="Comma 6 11" xfId="1420"/>
    <cellStyle name="Comma 6 12" xfId="1421"/>
    <cellStyle name="Comma 6 2" xfId="1422"/>
    <cellStyle name="Comma 6 3" xfId="1423"/>
    <cellStyle name="Comma 6 3 2" xfId="1424"/>
    <cellStyle name="Comma 6 3 2 2" xfId="1425"/>
    <cellStyle name="Comma 6 3 3" xfId="1426"/>
    <cellStyle name="Comma 6 3 4" xfId="1427"/>
    <cellStyle name="Comma 6 3 4 2" xfId="1428"/>
    <cellStyle name="Comma 6 3 5" xfId="1429"/>
    <cellStyle name="Comma 6 3 6" xfId="1430"/>
    <cellStyle name="Comma 6 4" xfId="1431"/>
    <cellStyle name="Comma 6 4 2" xfId="1432"/>
    <cellStyle name="Comma 6 4 3" xfId="1433"/>
    <cellStyle name="Comma 6 4 3 2" xfId="1434"/>
    <cellStyle name="Comma 6 5" xfId="1435"/>
    <cellStyle name="Comma 6 5 2" xfId="1436"/>
    <cellStyle name="Comma 6 5 2 2" xfId="1437"/>
    <cellStyle name="Comma 6 5 2 3" xfId="1438"/>
    <cellStyle name="Comma 6 5 2 4" xfId="1439"/>
    <cellStyle name="Comma 6 5 2 4 2" xfId="1440"/>
    <cellStyle name="Comma 6 5 2 4 3" xfId="1441"/>
    <cellStyle name="Comma 6 5 2 4 4" xfId="1442"/>
    <cellStyle name="Comma 6 5 2 4 4 2" xfId="1443"/>
    <cellStyle name="Comma 6 5 2 5" xfId="1444"/>
    <cellStyle name="Comma 6 5 3" xfId="1445"/>
    <cellStyle name="Comma 6 5 4" xfId="1446"/>
    <cellStyle name="Comma 6 5 5" xfId="1447"/>
    <cellStyle name="Comma 6 5 6" xfId="1448"/>
    <cellStyle name="Comma 6 6" xfId="1449"/>
    <cellStyle name="Comma 6 6 2" xfId="1450"/>
    <cellStyle name="Comma 6 7" xfId="1451"/>
    <cellStyle name="Comma 6 7 2" xfId="1452"/>
    <cellStyle name="Comma 6 7 2 2" xfId="1453"/>
    <cellStyle name="Comma 6 7 3" xfId="1454"/>
    <cellStyle name="Comma 6 8" xfId="1455"/>
    <cellStyle name="Comma 6 8 2" xfId="1456"/>
    <cellStyle name="Comma 6 8 3" xfId="1457"/>
    <cellStyle name="Comma 6 8 4" xfId="1458"/>
    <cellStyle name="Comma 6 8 4 2" xfId="1459"/>
    <cellStyle name="Comma 6 8 4 3" xfId="1460"/>
    <cellStyle name="Comma 6 8 4 4" xfId="1461"/>
    <cellStyle name="Comma 6 8 4 4 2" xfId="1462"/>
    <cellStyle name="Comma 6 8 5" xfId="1463"/>
    <cellStyle name="Comma 6 9" xfId="1464"/>
    <cellStyle name="Comma 60" xfId="1465"/>
    <cellStyle name="Comma 60 2" xfId="1466"/>
    <cellStyle name="Comma 60 2 2" xfId="1467"/>
    <cellStyle name="Comma 60 3" xfId="1468"/>
    <cellStyle name="Comma 60 4" xfId="1469"/>
    <cellStyle name="Comma 60 4 2" xfId="1470"/>
    <cellStyle name="Comma 61" xfId="1471"/>
    <cellStyle name="Comma 61 2" xfId="1472"/>
    <cellStyle name="Comma 61 2 2" xfId="1473"/>
    <cellStyle name="Comma 61 3" xfId="1474"/>
    <cellStyle name="Comma 61 3 2" xfId="1475"/>
    <cellStyle name="Comma 61 4" xfId="1476"/>
    <cellStyle name="Comma 61 4 2" xfId="1477"/>
    <cellStyle name="Comma 62" xfId="1478"/>
    <cellStyle name="Comma 62 2" xfId="1479"/>
    <cellStyle name="Comma 62 2 2" xfId="1480"/>
    <cellStyle name="Comma 62 3" xfId="1481"/>
    <cellStyle name="Comma 62 3 2" xfId="1482"/>
    <cellStyle name="Comma 62 3 2 2" xfId="1483"/>
    <cellStyle name="Comma 62 3 3" xfId="1484"/>
    <cellStyle name="Comma 62 4" xfId="1485"/>
    <cellStyle name="Comma 62 4 2" xfId="1486"/>
    <cellStyle name="Comma 63" xfId="1487"/>
    <cellStyle name="Comma 63 2" xfId="1488"/>
    <cellStyle name="Comma 63 2 2" xfId="1489"/>
    <cellStyle name="Comma 63 3" xfId="1490"/>
    <cellStyle name="Comma 63 3 2" xfId="1491"/>
    <cellStyle name="Comma 63 3 2 2" xfId="1492"/>
    <cellStyle name="Comma 63 3 3" xfId="1493"/>
    <cellStyle name="Comma 63 4" xfId="1494"/>
    <cellStyle name="Comma 63 4 2" xfId="1495"/>
    <cellStyle name="Comma 64" xfId="1496"/>
    <cellStyle name="Comma 64 2" xfId="1497"/>
    <cellStyle name="Comma 64 2 2" xfId="1498"/>
    <cellStyle name="Comma 64 3" xfId="1499"/>
    <cellStyle name="Comma 64 3 2" xfId="1500"/>
    <cellStyle name="Comma 64 3 2 2" xfId="1501"/>
    <cellStyle name="Comma 64 3 3" xfId="1502"/>
    <cellStyle name="Comma 64 4" xfId="1503"/>
    <cellStyle name="Comma 64 4 2" xfId="1504"/>
    <cellStyle name="Comma 65" xfId="1505"/>
    <cellStyle name="Comma 65 2" xfId="1506"/>
    <cellStyle name="Comma 65 2 2" xfId="1507"/>
    <cellStyle name="Comma 65 3" xfId="1508"/>
    <cellStyle name="Comma 65 3 2" xfId="1509"/>
    <cellStyle name="Comma 65 3 2 2" xfId="1510"/>
    <cellStyle name="Comma 65 3 3" xfId="1511"/>
    <cellStyle name="Comma 65 4" xfId="1512"/>
    <cellStyle name="Comma 65 4 2" xfId="1513"/>
    <cellStyle name="Comma 66" xfId="1514"/>
    <cellStyle name="Comma 66 2" xfId="1515"/>
    <cellStyle name="Comma 66 2 2" xfId="1516"/>
    <cellStyle name="Comma 66 3" xfId="1517"/>
    <cellStyle name="Comma 66 3 2" xfId="1518"/>
    <cellStyle name="Comma 66 3 2 2" xfId="1519"/>
    <cellStyle name="Comma 66 3 3" xfId="1520"/>
    <cellStyle name="Comma 66 4" xfId="1521"/>
    <cellStyle name="Comma 66 4 2" xfId="1522"/>
    <cellStyle name="Comma 67" xfId="1523"/>
    <cellStyle name="Comma 67 2" xfId="1524"/>
    <cellStyle name="Comma 67 2 2" xfId="1525"/>
    <cellStyle name="Comma 67 3" xfId="1526"/>
    <cellStyle name="Comma 67 3 2" xfId="1527"/>
    <cellStyle name="Comma 67 3 2 2" xfId="1528"/>
    <cellStyle name="Comma 67 3 3" xfId="1529"/>
    <cellStyle name="Comma 67 4" xfId="1530"/>
    <cellStyle name="Comma 67 4 2" xfId="1531"/>
    <cellStyle name="Comma 68" xfId="1532"/>
    <cellStyle name="Comma 68 2" xfId="1533"/>
    <cellStyle name="Comma 68 2 2" xfId="1534"/>
    <cellStyle name="Comma 68 3" xfId="1535"/>
    <cellStyle name="Comma 68 3 2" xfId="1536"/>
    <cellStyle name="Comma 68 3 2 2" xfId="1537"/>
    <cellStyle name="Comma 68 3 3" xfId="1538"/>
    <cellStyle name="Comma 68 4" xfId="1539"/>
    <cellStyle name="Comma 68 4 2" xfId="1540"/>
    <cellStyle name="Comma 69" xfId="1541"/>
    <cellStyle name="Comma 69 2" xfId="1542"/>
    <cellStyle name="Comma 69 2 2" xfId="1543"/>
    <cellStyle name="Comma 69 3" xfId="1544"/>
    <cellStyle name="Comma 69 3 2" xfId="1545"/>
    <cellStyle name="Comma 69 3 2 2" xfId="1546"/>
    <cellStyle name="Comma 69 3 3" xfId="1547"/>
    <cellStyle name="Comma 69 4" xfId="1548"/>
    <cellStyle name="Comma 69 4 2" xfId="1549"/>
    <cellStyle name="Comma 7" xfId="1550"/>
    <cellStyle name="Comma 7 2" xfId="1551"/>
    <cellStyle name="Comma 7 2 2" xfId="1552"/>
    <cellStyle name="Comma 7 3" xfId="1553"/>
    <cellStyle name="Comma 7 3 2" xfId="1554"/>
    <cellStyle name="Comma 7 4" xfId="1555"/>
    <cellStyle name="Comma 70" xfId="1556"/>
    <cellStyle name="Comma 70 2" xfId="1557"/>
    <cellStyle name="Comma 70 2 2" xfId="1558"/>
    <cellStyle name="Comma 70 3" xfId="1559"/>
    <cellStyle name="Comma 70 3 2" xfId="1560"/>
    <cellStyle name="Comma 70 3 2 2" xfId="1561"/>
    <cellStyle name="Comma 70 3 3" xfId="1562"/>
    <cellStyle name="Comma 70 4" xfId="1563"/>
    <cellStyle name="Comma 70 4 2" xfId="1564"/>
    <cellStyle name="Comma 71" xfId="1565"/>
    <cellStyle name="Comma 71 2" xfId="1566"/>
    <cellStyle name="Comma 71 2 2" xfId="1567"/>
    <cellStyle name="Comma 71 3" xfId="1568"/>
    <cellStyle name="Comma 71 3 2" xfId="1569"/>
    <cellStyle name="Comma 71 4" xfId="1570"/>
    <cellStyle name="Comma 71 4 2" xfId="1571"/>
    <cellStyle name="Comma 71 4 2 2" xfId="1572"/>
    <cellStyle name="Comma 71 4 3" xfId="1573"/>
    <cellStyle name="Comma 71 5" xfId="1574"/>
    <cellStyle name="Comma 71 5 2" xfId="1575"/>
    <cellStyle name="Comma 72" xfId="1576"/>
    <cellStyle name="Comma 72 2" xfId="1577"/>
    <cellStyle name="Comma 72 2 2" xfId="1578"/>
    <cellStyle name="Comma 72 3" xfId="1579"/>
    <cellStyle name="Comma 72 3 2" xfId="1580"/>
    <cellStyle name="Comma 72 4" xfId="1581"/>
    <cellStyle name="Comma 72 4 2" xfId="1582"/>
    <cellStyle name="Comma 72 4 2 2" xfId="1583"/>
    <cellStyle name="Comma 72 4 3" xfId="1584"/>
    <cellStyle name="Comma 72 5" xfId="1585"/>
    <cellStyle name="Comma 72 5 2" xfId="1586"/>
    <cellStyle name="Comma 73" xfId="1587"/>
    <cellStyle name="Comma 73 2" xfId="1588"/>
    <cellStyle name="Comma 73 2 2" xfId="1589"/>
    <cellStyle name="Comma 73 3" xfId="1590"/>
    <cellStyle name="Comma 73 3 2" xfId="1591"/>
    <cellStyle name="Comma 73 4" xfId="1592"/>
    <cellStyle name="Comma 73 4 2" xfId="1593"/>
    <cellStyle name="Comma 73 4 2 2" xfId="1594"/>
    <cellStyle name="Comma 73 4 3" xfId="1595"/>
    <cellStyle name="Comma 73 5" xfId="1596"/>
    <cellStyle name="Comma 73 5 2" xfId="1597"/>
    <cellStyle name="Comma 74" xfId="1598"/>
    <cellStyle name="Comma 74 2" xfId="1599"/>
    <cellStyle name="Comma 74 2 2" xfId="1600"/>
    <cellStyle name="Comma 74 3" xfId="1601"/>
    <cellStyle name="Comma 74 3 2" xfId="1602"/>
    <cellStyle name="Comma 74 4" xfId="1603"/>
    <cellStyle name="Comma 74 4 2" xfId="1604"/>
    <cellStyle name="Comma 74 4 2 2" xfId="1605"/>
    <cellStyle name="Comma 74 4 3" xfId="1606"/>
    <cellStyle name="Comma 74 5" xfId="1607"/>
    <cellStyle name="Comma 74 5 2" xfId="1608"/>
    <cellStyle name="Comma 75" xfId="1609"/>
    <cellStyle name="Comma 75 2" xfId="1610"/>
    <cellStyle name="Comma 75 2 2" xfId="1611"/>
    <cellStyle name="Comma 75 3" xfId="1612"/>
    <cellStyle name="Comma 75 3 2" xfId="1613"/>
    <cellStyle name="Comma 75 3 2 2" xfId="1614"/>
    <cellStyle name="Comma 75 3 3" xfId="1615"/>
    <cellStyle name="Comma 75 4" xfId="1616"/>
    <cellStyle name="Comma 75 4 2" xfId="1617"/>
    <cellStyle name="Comma 76" xfId="1618"/>
    <cellStyle name="Comma 76 2" xfId="1619"/>
    <cellStyle name="Comma 76 2 2" xfId="1620"/>
    <cellStyle name="Comma 76 3" xfId="1621"/>
    <cellStyle name="Comma 76 3 2" xfId="1622"/>
    <cellStyle name="Comma 76 3 2 2" xfId="1623"/>
    <cellStyle name="Comma 76 3 3" xfId="1624"/>
    <cellStyle name="Comma 76 4" xfId="1625"/>
    <cellStyle name="Comma 76 4 2" xfId="1626"/>
    <cellStyle name="Comma 77" xfId="1627"/>
    <cellStyle name="Comma 77 2" xfId="1628"/>
    <cellStyle name="Comma 77 2 2" xfId="1629"/>
    <cellStyle name="Comma 77 3" xfId="1630"/>
    <cellStyle name="Comma 77 3 2" xfId="1631"/>
    <cellStyle name="Comma 77 3 2 2" xfId="1632"/>
    <cellStyle name="Comma 77 3 3" xfId="1633"/>
    <cellStyle name="Comma 77 4" xfId="1634"/>
    <cellStyle name="Comma 77 4 2" xfId="1635"/>
    <cellStyle name="Comma 78" xfId="1636"/>
    <cellStyle name="Comma 78 2" xfId="1637"/>
    <cellStyle name="Comma 78 2 2" xfId="1638"/>
    <cellStyle name="Comma 78 3" xfId="1639"/>
    <cellStyle name="Comma 78 3 2" xfId="1640"/>
    <cellStyle name="Comma 78 3 2 2" xfId="1641"/>
    <cellStyle name="Comma 78 3 3" xfId="1642"/>
    <cellStyle name="Comma 78 4" xfId="1643"/>
    <cellStyle name="Comma 78 4 2" xfId="1644"/>
    <cellStyle name="Comma 79" xfId="1645"/>
    <cellStyle name="Comma 79 2" xfId="1646"/>
    <cellStyle name="Comma 79 2 2" xfId="1647"/>
    <cellStyle name="Comma 79 3" xfId="1648"/>
    <cellStyle name="Comma 79 3 2" xfId="1649"/>
    <cellStyle name="Comma 79 3 2 2" xfId="1650"/>
    <cellStyle name="Comma 79 3 3" xfId="1651"/>
    <cellStyle name="Comma 79 4" xfId="1652"/>
    <cellStyle name="Comma 79 4 2" xfId="1653"/>
    <cellStyle name="Comma 8" xfId="1654"/>
    <cellStyle name="Comma 8 2" xfId="1655"/>
    <cellStyle name="Comma 8 2 2" xfId="1656"/>
    <cellStyle name="Comma 8 2 2 2" xfId="1657"/>
    <cellStyle name="Comma 8 2 3" xfId="1658"/>
    <cellStyle name="Comma 8 2 3 2" xfId="1659"/>
    <cellStyle name="Comma 8 2 3 2 2" xfId="1660"/>
    <cellStyle name="Comma 8 2 3 3" xfId="1661"/>
    <cellStyle name="Comma 8 2 4" xfId="1662"/>
    <cellStyle name="Comma 8 3" xfId="1663"/>
    <cellStyle name="Comma 8 3 2" xfId="1664"/>
    <cellStyle name="Comma 8 3 2 2" xfId="1665"/>
    <cellStyle name="Comma 8 3 3" xfId="1666"/>
    <cellStyle name="Comma 8 3 3 2" xfId="1667"/>
    <cellStyle name="Comma 8 4" xfId="1668"/>
    <cellStyle name="Comma 8 4 2" xfId="1669"/>
    <cellStyle name="Comma 80" xfId="1670"/>
    <cellStyle name="Comma 80 2" xfId="1671"/>
    <cellStyle name="Comma 80 2 2" xfId="1672"/>
    <cellStyle name="Comma 80 3" xfId="1673"/>
    <cellStyle name="Comma 80 3 2" xfId="1674"/>
    <cellStyle name="Comma 80 3 2 2" xfId="1675"/>
    <cellStyle name="Comma 80 3 3" xfId="1676"/>
    <cellStyle name="Comma 80 4" xfId="1677"/>
    <cellStyle name="Comma 80 4 2" xfId="1678"/>
    <cellStyle name="Comma 81" xfId="1679"/>
    <cellStyle name="Comma 81 2" xfId="1680"/>
    <cellStyle name="Comma 81 2 2" xfId="1681"/>
    <cellStyle name="Comma 81 3" xfId="1682"/>
    <cellStyle name="Comma 81 3 2" xfId="1683"/>
    <cellStyle name="Comma 81 3 2 2" xfId="1684"/>
    <cellStyle name="Comma 81 3 3" xfId="1685"/>
    <cellStyle name="Comma 81 4" xfId="1686"/>
    <cellStyle name="Comma 81 4 2" xfId="1687"/>
    <cellStyle name="Comma 82" xfId="1688"/>
    <cellStyle name="Comma 82 2" xfId="1689"/>
    <cellStyle name="Comma 82 2 2" xfId="1690"/>
    <cellStyle name="Comma 82 3" xfId="1691"/>
    <cellStyle name="Comma 82 3 2" xfId="1692"/>
    <cellStyle name="Comma 82 3 2 2" xfId="1693"/>
    <cellStyle name="Comma 82 3 3" xfId="1694"/>
    <cellStyle name="Comma 82 4" xfId="1695"/>
    <cellStyle name="Comma 82 4 2" xfId="1696"/>
    <cellStyle name="Comma 83" xfId="1697"/>
    <cellStyle name="Comma 83 2" xfId="1698"/>
    <cellStyle name="Comma 83 2 2" xfId="1699"/>
    <cellStyle name="Comma 83 3" xfId="1700"/>
    <cellStyle name="Comma 83 3 2" xfId="1701"/>
    <cellStyle name="Comma 83 3 2 2" xfId="1702"/>
    <cellStyle name="Comma 83 3 3" xfId="1703"/>
    <cellStyle name="Comma 83 4" xfId="1704"/>
    <cellStyle name="Comma 83 4 2" xfId="1705"/>
    <cellStyle name="Comma 84" xfId="1706"/>
    <cellStyle name="Comma 84 2" xfId="1707"/>
    <cellStyle name="Comma 84 2 2" xfId="1708"/>
    <cellStyle name="Comma 84 3" xfId="1709"/>
    <cellStyle name="Comma 84 3 2" xfId="1710"/>
    <cellStyle name="Comma 84 3 2 2" xfId="1711"/>
    <cellStyle name="Comma 84 3 3" xfId="1712"/>
    <cellStyle name="Comma 84 4" xfId="1713"/>
    <cellStyle name="Comma 84 4 2" xfId="1714"/>
    <cellStyle name="Comma 85" xfId="1715"/>
    <cellStyle name="Comma 85 2" xfId="1716"/>
    <cellStyle name="Comma 85 2 2" xfId="1717"/>
    <cellStyle name="Comma 85 3" xfId="1718"/>
    <cellStyle name="Comma 85 3 2" xfId="1719"/>
    <cellStyle name="Comma 85 3 2 2" xfId="1720"/>
    <cellStyle name="Comma 85 3 3" xfId="1721"/>
    <cellStyle name="Comma 85 4" xfId="1722"/>
    <cellStyle name="Comma 85 4 2" xfId="1723"/>
    <cellStyle name="Comma 86" xfId="1724"/>
    <cellStyle name="Comma 86 2" xfId="1725"/>
    <cellStyle name="Comma 86 2 2" xfId="1726"/>
    <cellStyle name="Comma 86 3" xfId="1727"/>
    <cellStyle name="Comma 86 3 2" xfId="1728"/>
    <cellStyle name="Comma 86 3 2 2" xfId="1729"/>
    <cellStyle name="Comma 86 3 3" xfId="1730"/>
    <cellStyle name="Comma 86 4" xfId="1731"/>
    <cellStyle name="Comma 86 4 2" xfId="1732"/>
    <cellStyle name="Comma 87" xfId="1733"/>
    <cellStyle name="Comma 87 2" xfId="1734"/>
    <cellStyle name="Comma 87 2 2" xfId="1735"/>
    <cellStyle name="Comma 87 3" xfId="1736"/>
    <cellStyle name="Comma 87 3 2" xfId="1737"/>
    <cellStyle name="Comma 87 3 2 2" xfId="1738"/>
    <cellStyle name="Comma 87 3 3" xfId="1739"/>
    <cellStyle name="Comma 87 4" xfId="1740"/>
    <cellStyle name="Comma 87 4 2" xfId="1741"/>
    <cellStyle name="Comma 88" xfId="1742"/>
    <cellStyle name="Comma 88 2" xfId="1743"/>
    <cellStyle name="Comma 89" xfId="1744"/>
    <cellStyle name="Comma 89 2" xfId="1745"/>
    <cellStyle name="Comma 9" xfId="1746"/>
    <cellStyle name="Comma 9 2" xfId="1747"/>
    <cellStyle name="Comma 9 2 2" xfId="1748"/>
    <cellStyle name="Comma 9 2 2 2" xfId="1749"/>
    <cellStyle name="Comma 9 2 3" xfId="1750"/>
    <cellStyle name="Comma 9 2 3 2" xfId="1751"/>
    <cellStyle name="Comma 9 2 4" xfId="1752"/>
    <cellStyle name="Comma 9 3" xfId="1753"/>
    <cellStyle name="Comma 9 3 2" xfId="1754"/>
    <cellStyle name="Comma 9 3 2 2" xfId="1755"/>
    <cellStyle name="Comma 9 3 3" xfId="1756"/>
    <cellStyle name="Comma 9 4" xfId="1757"/>
    <cellStyle name="Comma 9 4 2" xfId="1758"/>
    <cellStyle name="Comma 9 4 2 2" xfId="1759"/>
    <cellStyle name="Comma 9 4 3" xfId="1760"/>
    <cellStyle name="Comma 9 4 3 2" xfId="1761"/>
    <cellStyle name="Comma 9 4 4" xfId="1762"/>
    <cellStyle name="Comma 9 4 4 2" xfId="1763"/>
    <cellStyle name="Comma 9 4 4 3" xfId="1764"/>
    <cellStyle name="Comma 9 4 4 4" xfId="1765"/>
    <cellStyle name="Comma 9 4 4 4 2" xfId="1766"/>
    <cellStyle name="Comma 9 4 5" xfId="1767"/>
    <cellStyle name="Comma 9 5" xfId="1768"/>
    <cellStyle name="Comma 9 5 2" xfId="1769"/>
    <cellStyle name="Comma 9 5 2 2" xfId="1770"/>
    <cellStyle name="Comma 9 5 3" xfId="1771"/>
    <cellStyle name="Comma 9 5 3 2" xfId="1772"/>
    <cellStyle name="Comma 9 5 3 3" xfId="1773"/>
    <cellStyle name="Comma 9 5 3 3 2" xfId="1774"/>
    <cellStyle name="Comma 9 5 4" xfId="1775"/>
    <cellStyle name="Comma 9 5 4 2" xfId="1776"/>
    <cellStyle name="Comma 9 5 4 3" xfId="1777"/>
    <cellStyle name="Comma 9 5 4 4" xfId="1778"/>
    <cellStyle name="Comma 9 5 4 4 2" xfId="1779"/>
    <cellStyle name="Comma 9 5 5" xfId="1780"/>
    <cellStyle name="Comma 9 6" xfId="1781"/>
    <cellStyle name="Comma 9 6 2" xfId="1782"/>
    <cellStyle name="Comma 9 7" xfId="1783"/>
    <cellStyle name="Comma 9 7 2" xfId="1784"/>
    <cellStyle name="Comma 9 7 3" xfId="1785"/>
    <cellStyle name="Comma 9 8" xfId="1786"/>
    <cellStyle name="Comma 90" xfId="1787"/>
    <cellStyle name="Comma 90 2" xfId="1788"/>
    <cellStyle name="Comma 91" xfId="1789"/>
    <cellStyle name="Comma 91 2" xfId="1790"/>
    <cellStyle name="Comma 92" xfId="1791"/>
    <cellStyle name="Comma 92 2" xfId="1792"/>
    <cellStyle name="Comma 93" xfId="1793"/>
    <cellStyle name="Comma 93 2" xfId="1794"/>
    <cellStyle name="Comma 94" xfId="1795"/>
    <cellStyle name="Comma 94 2" xfId="1796"/>
    <cellStyle name="Comma 95" xfId="1797"/>
    <cellStyle name="Comma 95 2" xfId="1798"/>
    <cellStyle name="Comma 96" xfId="1799"/>
    <cellStyle name="Comma 96 2" xfId="1800"/>
    <cellStyle name="Comma 97" xfId="1801"/>
    <cellStyle name="Comma 97 2" xfId="1802"/>
    <cellStyle name="Comma 98" xfId="1803"/>
    <cellStyle name="Comma 98 2" xfId="1804"/>
    <cellStyle name="Comma 99" xfId="1805"/>
    <cellStyle name="Comma 99 2" xfId="1806"/>
    <cellStyle name="Currency (.00)" xfId="1807"/>
    <cellStyle name="Currency (Ptas)" xfId="1808"/>
    <cellStyle name="Currency 10" xfId="1809"/>
    <cellStyle name="Currency 10 2" xfId="1810"/>
    <cellStyle name="Currency 10 3" xfId="1811"/>
    <cellStyle name="Currency 10 4" xfId="1812"/>
    <cellStyle name="Currency 10 4 2" xfId="1813"/>
    <cellStyle name="Currency 10 5" xfId="1814"/>
    <cellStyle name="Currency 10 5 2" xfId="1815"/>
    <cellStyle name="Currency 100" xfId="1816"/>
    <cellStyle name="Currency 100 2" xfId="1817"/>
    <cellStyle name="Currency 101" xfId="1818"/>
    <cellStyle name="Currency 101 2" xfId="1819"/>
    <cellStyle name="Currency 102" xfId="1820"/>
    <cellStyle name="Currency 102 2" xfId="1821"/>
    <cellStyle name="Currency 103" xfId="1822"/>
    <cellStyle name="Currency 103 2" xfId="1823"/>
    <cellStyle name="Currency 104" xfId="1824"/>
    <cellStyle name="Currency 104 2" xfId="1825"/>
    <cellStyle name="Currency 105" xfId="1826"/>
    <cellStyle name="Currency 105 2" xfId="1827"/>
    <cellStyle name="Currency 106" xfId="1828"/>
    <cellStyle name="Currency 106 2" xfId="1829"/>
    <cellStyle name="Currency 107" xfId="1830"/>
    <cellStyle name="Currency 107 2" xfId="1831"/>
    <cellStyle name="Currency 108" xfId="1832"/>
    <cellStyle name="Currency 108 2" xfId="1833"/>
    <cellStyle name="Currency 109" xfId="1834"/>
    <cellStyle name="Currency 109 2" xfId="1835"/>
    <cellStyle name="Currency 11" xfId="1836"/>
    <cellStyle name="Currency 11 2" xfId="1837"/>
    <cellStyle name="Currency 110" xfId="1838"/>
    <cellStyle name="Currency 110 2" xfId="1839"/>
    <cellStyle name="Currency 111" xfId="1840"/>
    <cellStyle name="Currency 111 2" xfId="1841"/>
    <cellStyle name="Currency 112" xfId="1842"/>
    <cellStyle name="Currency 112 2" xfId="1843"/>
    <cellStyle name="Currency 113" xfId="1844"/>
    <cellStyle name="Currency 113 2" xfId="1845"/>
    <cellStyle name="Currency 114" xfId="1846"/>
    <cellStyle name="Currency 114 2" xfId="1847"/>
    <cellStyle name="Currency 115" xfId="1848"/>
    <cellStyle name="Currency 115 2" xfId="1849"/>
    <cellStyle name="Currency 116" xfId="1850"/>
    <cellStyle name="Currency 116 2" xfId="1851"/>
    <cellStyle name="Currency 117" xfId="1852"/>
    <cellStyle name="Currency 117 2" xfId="1853"/>
    <cellStyle name="Currency 118" xfId="1854"/>
    <cellStyle name="Currency 118 2" xfId="1855"/>
    <cellStyle name="Currency 119" xfId="1856"/>
    <cellStyle name="Currency 119 2" xfId="1857"/>
    <cellStyle name="Currency 12" xfId="1858"/>
    <cellStyle name="Currency 12 2" xfId="1859"/>
    <cellStyle name="Currency 12 2 2" xfId="1860"/>
    <cellStyle name="Currency 12 3" xfId="1861"/>
    <cellStyle name="Currency 12 3 2" xfId="1862"/>
    <cellStyle name="Currency 12 4" xfId="1863"/>
    <cellStyle name="Currency 120" xfId="1864"/>
    <cellStyle name="Currency 120 2" xfId="1865"/>
    <cellStyle name="Currency 121" xfId="1866"/>
    <cellStyle name="Currency 121 2" xfId="1867"/>
    <cellStyle name="Currency 122" xfId="1868"/>
    <cellStyle name="Currency 122 2" xfId="1869"/>
    <cellStyle name="Currency 123" xfId="1870"/>
    <cellStyle name="Currency 123 2" xfId="1871"/>
    <cellStyle name="Currency 124" xfId="1872"/>
    <cellStyle name="Currency 124 2" xfId="1873"/>
    <cellStyle name="Currency 125" xfId="1874"/>
    <cellStyle name="Currency 125 2" xfId="1875"/>
    <cellStyle name="Currency 126" xfId="1876"/>
    <cellStyle name="Currency 126 2" xfId="1877"/>
    <cellStyle name="Currency 127" xfId="1878"/>
    <cellStyle name="Currency 127 2" xfId="1879"/>
    <cellStyle name="Currency 128" xfId="1880"/>
    <cellStyle name="Currency 128 2" xfId="1881"/>
    <cellStyle name="Currency 129" xfId="1882"/>
    <cellStyle name="Currency 129 2" xfId="1883"/>
    <cellStyle name="Currency 13" xfId="1884"/>
    <cellStyle name="Currency 13 2" xfId="1885"/>
    <cellStyle name="Currency 13 2 2" xfId="1886"/>
    <cellStyle name="Currency 13 3" xfId="1887"/>
    <cellStyle name="Currency 13 3 2" xfId="1888"/>
    <cellStyle name="Currency 13 4" xfId="1889"/>
    <cellStyle name="Currency 130" xfId="1890"/>
    <cellStyle name="Currency 130 2" xfId="1891"/>
    <cellStyle name="Currency 131" xfId="1892"/>
    <cellStyle name="Currency 131 2" xfId="1893"/>
    <cellStyle name="Currency 132" xfId="1894"/>
    <cellStyle name="Currency 132 2" xfId="1895"/>
    <cellStyle name="Currency 133" xfId="1896"/>
    <cellStyle name="Currency 133 2" xfId="1897"/>
    <cellStyle name="Currency 134" xfId="1898"/>
    <cellStyle name="Currency 134 2" xfId="1899"/>
    <cellStyle name="Currency 135" xfId="1900"/>
    <cellStyle name="Currency 135 2" xfId="1901"/>
    <cellStyle name="Currency 135 2 2" xfId="1902"/>
    <cellStyle name="Currency 135 3" xfId="1903"/>
    <cellStyle name="Currency 135 3 2" xfId="1904"/>
    <cellStyle name="Currency 135 3 3" xfId="1905"/>
    <cellStyle name="Currency 135 3 4" xfId="1906"/>
    <cellStyle name="Currency 135 3 4 2" xfId="1907"/>
    <cellStyle name="Currency 135 4" xfId="1908"/>
    <cellStyle name="Currency 136" xfId="1909"/>
    <cellStyle name="Currency 136 2" xfId="1910"/>
    <cellStyle name="Currency 136 2 2" xfId="1911"/>
    <cellStyle name="Currency 136 3" xfId="1912"/>
    <cellStyle name="Currency 136 3 2" xfId="1913"/>
    <cellStyle name="Currency 136 3 3" xfId="1914"/>
    <cellStyle name="Currency 136 3 4" xfId="1915"/>
    <cellStyle name="Currency 136 3 4 2" xfId="1916"/>
    <cellStyle name="Currency 136 4" xfId="1917"/>
    <cellStyle name="Currency 137" xfId="1918"/>
    <cellStyle name="Currency 137 2" xfId="1919"/>
    <cellStyle name="Currency 137 2 2" xfId="1920"/>
    <cellStyle name="Currency 137 3" xfId="1921"/>
    <cellStyle name="Currency 137 3 2" xfId="1922"/>
    <cellStyle name="Currency 138" xfId="1923"/>
    <cellStyle name="Currency 138 2" xfId="1924"/>
    <cellStyle name="Currency 138 2 2" xfId="1925"/>
    <cellStyle name="Currency 138 3" xfId="1926"/>
    <cellStyle name="Currency 138 3 2" xfId="1927"/>
    <cellStyle name="Currency 139" xfId="1928"/>
    <cellStyle name="Currency 139 2" xfId="1929"/>
    <cellStyle name="Currency 14" xfId="1930"/>
    <cellStyle name="Currency 14 2" xfId="1931"/>
    <cellStyle name="Currency 140" xfId="1932"/>
    <cellStyle name="Currency 140 2" xfId="1933"/>
    <cellStyle name="Currency 141" xfId="1934"/>
    <cellStyle name="Currency 141 2" xfId="1935"/>
    <cellStyle name="Currency 142" xfId="1936"/>
    <cellStyle name="Currency 142 2" xfId="1937"/>
    <cellStyle name="Currency 143" xfId="1938"/>
    <cellStyle name="Currency 143 2" xfId="1939"/>
    <cellStyle name="Currency 144" xfId="1940"/>
    <cellStyle name="Currency 144 2" xfId="1941"/>
    <cellStyle name="Currency 145" xfId="1942"/>
    <cellStyle name="Currency 145 2" xfId="1943"/>
    <cellStyle name="Currency 146" xfId="1944"/>
    <cellStyle name="Currency 146 2" xfId="1945"/>
    <cellStyle name="Currency 147" xfId="1946"/>
    <cellStyle name="Currency 147 2" xfId="1947"/>
    <cellStyle name="Currency 148" xfId="1948"/>
    <cellStyle name="Currency 148 2" xfId="1949"/>
    <cellStyle name="Currency 149" xfId="1950"/>
    <cellStyle name="Currency 149 2" xfId="1951"/>
    <cellStyle name="Currency 15" xfId="1952"/>
    <cellStyle name="Currency 15 2" xfId="1953"/>
    <cellStyle name="Currency 150" xfId="1954"/>
    <cellStyle name="Currency 150 2" xfId="1955"/>
    <cellStyle name="Currency 151" xfId="1956"/>
    <cellStyle name="Currency 151 2" xfId="1957"/>
    <cellStyle name="Currency 152" xfId="1958"/>
    <cellStyle name="Currency 152 2" xfId="1959"/>
    <cellStyle name="Currency 153" xfId="1960"/>
    <cellStyle name="Currency 153 2" xfId="1961"/>
    <cellStyle name="Currency 153 2 2" xfId="1962"/>
    <cellStyle name="Currency 153 2 2 2" xfId="1963"/>
    <cellStyle name="Currency 153 3" xfId="1964"/>
    <cellStyle name="Currency 153 4" xfId="1965"/>
    <cellStyle name="Currency 153 4 2" xfId="1966"/>
    <cellStyle name="Currency 153 5" xfId="1967"/>
    <cellStyle name="Currency 153 5 2" xfId="1968"/>
    <cellStyle name="Currency 154" xfId="1969"/>
    <cellStyle name="Currency 154 2" xfId="1970"/>
    <cellStyle name="Currency 154 3" xfId="1971"/>
    <cellStyle name="Currency 154 3 2" xfId="1972"/>
    <cellStyle name="Currency 155" xfId="1973"/>
    <cellStyle name="Currency 155 2" xfId="1974"/>
    <cellStyle name="Currency 155 3" xfId="1975"/>
    <cellStyle name="Currency 155 3 2" xfId="1976"/>
    <cellStyle name="Currency 156" xfId="1977"/>
    <cellStyle name="Currency 156 2" xfId="1978"/>
    <cellStyle name="Currency 156 2 2" xfId="1979"/>
    <cellStyle name="Currency 156 2 3" xfId="1980"/>
    <cellStyle name="Currency 156 2 4" xfId="1981"/>
    <cellStyle name="Currency 156 2 4 2" xfId="1982"/>
    <cellStyle name="Currency 157" xfId="1983"/>
    <cellStyle name="Currency 157 2" xfId="1984"/>
    <cellStyle name="Currency 157 2 2" xfId="1985"/>
    <cellStyle name="Currency 157 2 3" xfId="1986"/>
    <cellStyle name="Currency 157 2 4" xfId="1987"/>
    <cellStyle name="Currency 157 2 4 2" xfId="1988"/>
    <cellStyle name="Currency 158" xfId="1989"/>
    <cellStyle name="Currency 158 2" xfId="1990"/>
    <cellStyle name="Currency 158 3" xfId="1991"/>
    <cellStyle name="Currency 158 4" xfId="1992"/>
    <cellStyle name="Currency 158 4 2" xfId="1993"/>
    <cellStyle name="Currency 159" xfId="1994"/>
    <cellStyle name="Currency 159 2" xfId="1995"/>
    <cellStyle name="Currency 159 3" xfId="1996"/>
    <cellStyle name="Currency 159 4" xfId="1997"/>
    <cellStyle name="Currency 159 4 2" xfId="1998"/>
    <cellStyle name="Currency 16" xfId="1999"/>
    <cellStyle name="Currency 16 2" xfId="2000"/>
    <cellStyle name="Currency 160" xfId="2001"/>
    <cellStyle name="Currency 160 2" xfId="2002"/>
    <cellStyle name="Currency 160 3" xfId="2003"/>
    <cellStyle name="Currency 160 4" xfId="2004"/>
    <cellStyle name="Currency 160 4 2" xfId="2005"/>
    <cellStyle name="Currency 161" xfId="2006"/>
    <cellStyle name="Currency 162" xfId="2007"/>
    <cellStyle name="Currency 162 2" xfId="2008"/>
    <cellStyle name="Currency 163" xfId="2009"/>
    <cellStyle name="Currency 163 2" xfId="2010"/>
    <cellStyle name="Currency 17" xfId="2011"/>
    <cellStyle name="Currency 17 2" xfId="2012"/>
    <cellStyle name="Currency 18" xfId="2013"/>
    <cellStyle name="Currency 18 2" xfId="2014"/>
    <cellStyle name="Currency 19" xfId="2015"/>
    <cellStyle name="Currency 19 2" xfId="2016"/>
    <cellStyle name="Currency 2" xfId="2017"/>
    <cellStyle name="Currency 2 10" xfId="2018"/>
    <cellStyle name="Currency 2 10 2" xfId="2019"/>
    <cellStyle name="Currency 2 10 3" xfId="2020"/>
    <cellStyle name="Currency 2 10 4" xfId="2021"/>
    <cellStyle name="Currency 2 10 4 2" xfId="2022"/>
    <cellStyle name="Currency 2 11" xfId="2023"/>
    <cellStyle name="Currency 2 2" xfId="2024"/>
    <cellStyle name="Currency 2 2 2" xfId="2025"/>
    <cellStyle name="Currency 2 2 2 2" xfId="2026"/>
    <cellStyle name="Currency 2 2 3" xfId="2027"/>
    <cellStyle name="Currency 2 3" xfId="2028"/>
    <cellStyle name="Currency 2 3 2" xfId="2029"/>
    <cellStyle name="Currency 2 3 2 2" xfId="2030"/>
    <cellStyle name="Currency 2 3 3" xfId="2031"/>
    <cellStyle name="Currency 2 4" xfId="2032"/>
    <cellStyle name="Currency 2 4 2" xfId="2033"/>
    <cellStyle name="Currency 2 5" xfId="2034"/>
    <cellStyle name="Currency 2 5 2" xfId="2035"/>
    <cellStyle name="Currency 2 6" xfId="2036"/>
    <cellStyle name="Currency 2 6 2" xfId="2037"/>
    <cellStyle name="Currency 2 6 2 2" xfId="2038"/>
    <cellStyle name="Currency 2 6 3" xfId="2039"/>
    <cellStyle name="Currency 2 7" xfId="2040"/>
    <cellStyle name="Currency 2 7 2" xfId="2041"/>
    <cellStyle name="Currency 2 7 2 2" xfId="2042"/>
    <cellStyle name="Currency 2 7 3" xfId="2043"/>
    <cellStyle name="Currency 2 8" xfId="2044"/>
    <cellStyle name="Currency 2 8 2" xfId="2045"/>
    <cellStyle name="Currency 2 8 2 2" xfId="2046"/>
    <cellStyle name="Currency 2 8 3" xfId="2047"/>
    <cellStyle name="Currency 2 8 3 2" xfId="2048"/>
    <cellStyle name="Currency 2 8 3 3" xfId="2049"/>
    <cellStyle name="Currency 2 8 3 4" xfId="2050"/>
    <cellStyle name="Currency 2 8 3 4 2" xfId="2051"/>
    <cellStyle name="Currency 2 8 4" xfId="2052"/>
    <cellStyle name="Currency 2 9" xfId="2053"/>
    <cellStyle name="Currency 2 9 2" xfId="2054"/>
    <cellStyle name="Currency 20" xfId="2055"/>
    <cellStyle name="Currency 20 2" xfId="2056"/>
    <cellStyle name="Currency 21" xfId="2057"/>
    <cellStyle name="Currency 21 2" xfId="2058"/>
    <cellStyle name="Currency 22" xfId="2059"/>
    <cellStyle name="Currency 22 2" xfId="2060"/>
    <cellStyle name="Currency 23" xfId="2061"/>
    <cellStyle name="Currency 23 2" xfId="2062"/>
    <cellStyle name="Currency 24" xfId="2063"/>
    <cellStyle name="Currency 24 2" xfId="2064"/>
    <cellStyle name="Currency 25" xfId="2065"/>
    <cellStyle name="Currency 25 2" xfId="2066"/>
    <cellStyle name="Currency 26" xfId="2067"/>
    <cellStyle name="Currency 26 2" xfId="2068"/>
    <cellStyle name="Currency 27" xfId="2069"/>
    <cellStyle name="Currency 27 2" xfId="2070"/>
    <cellStyle name="Currency 28" xfId="2071"/>
    <cellStyle name="Currency 28 2" xfId="2072"/>
    <cellStyle name="Currency 29" xfId="2073"/>
    <cellStyle name="Currency 29 2" xfId="2074"/>
    <cellStyle name="Currency 29 3" xfId="2075"/>
    <cellStyle name="Currency 29 4" xfId="2076"/>
    <cellStyle name="Currency 29 4 2" xfId="2077"/>
    <cellStyle name="Currency 29 4 3" xfId="2078"/>
    <cellStyle name="Currency 29 4 4" xfId="2079"/>
    <cellStyle name="Currency 29 4 4 2" xfId="2080"/>
    <cellStyle name="Currency 29 5" xfId="2081"/>
    <cellStyle name="Currency 3" xfId="2082"/>
    <cellStyle name="Currency 3 2" xfId="2083"/>
    <cellStyle name="Currency 3 2 2" xfId="2084"/>
    <cellStyle name="Currency 3 2 2 2" xfId="2085"/>
    <cellStyle name="Currency 3 2 3" xfId="2086"/>
    <cellStyle name="Currency 3 2 3 2" xfId="2087"/>
    <cellStyle name="Currency 3 2 4" xfId="2088"/>
    <cellStyle name="Currency 3 3" xfId="2089"/>
    <cellStyle name="Currency 3 3 2" xfId="2090"/>
    <cellStyle name="Currency 3 4" xfId="2091"/>
    <cellStyle name="Currency 3 4 2" xfId="2092"/>
    <cellStyle name="Currency 3 4 2 2" xfId="2093"/>
    <cellStyle name="Currency 3 4 3" xfId="2094"/>
    <cellStyle name="Currency 3 4 3 2" xfId="2095"/>
    <cellStyle name="Currency 3 4 3 3" xfId="2096"/>
    <cellStyle name="Currency 3 4 3 4" xfId="2097"/>
    <cellStyle name="Currency 3 4 3 4 2" xfId="2098"/>
    <cellStyle name="Currency 3 4 4" xfId="2099"/>
    <cellStyle name="Currency 3 5" xfId="2100"/>
    <cellStyle name="Currency 3 5 2" xfId="2101"/>
    <cellStyle name="Currency 3 5 3" xfId="2102"/>
    <cellStyle name="Currency 3 5 4" xfId="2103"/>
    <cellStyle name="Currency 3 5 4 2" xfId="2104"/>
    <cellStyle name="Currency 3 6" xfId="2105"/>
    <cellStyle name="Currency 3 6 2" xfId="2106"/>
    <cellStyle name="Currency 3 6 2 2" xfId="2107"/>
    <cellStyle name="Currency 3 6 2 2 2" xfId="2108"/>
    <cellStyle name="Currency 3 6 3" xfId="2109"/>
    <cellStyle name="Currency 3 6 4" xfId="2110"/>
    <cellStyle name="Currency 3 6 5" xfId="2111"/>
    <cellStyle name="Currency 3 6 5 2" xfId="2112"/>
    <cellStyle name="Currency 3 7" xfId="2113"/>
    <cellStyle name="Currency 3 8" xfId="2114"/>
    <cellStyle name="Currency 3 8 2" xfId="2115"/>
    <cellStyle name="Currency 30" xfId="2116"/>
    <cellStyle name="Currency 30 2" xfId="2117"/>
    <cellStyle name="Currency 30 2 2" xfId="2118"/>
    <cellStyle name="Currency 30 3" xfId="2119"/>
    <cellStyle name="Currency 30 3 2" xfId="2120"/>
    <cellStyle name="Currency 30 4" xfId="2121"/>
    <cellStyle name="Currency 30 4 2" xfId="2122"/>
    <cellStyle name="Currency 30 4 3" xfId="2123"/>
    <cellStyle name="Currency 30 4 4" xfId="2124"/>
    <cellStyle name="Currency 30 4 4 2" xfId="2125"/>
    <cellStyle name="Currency 30 5" xfId="2126"/>
    <cellStyle name="Currency 31" xfId="2127"/>
    <cellStyle name="Currency 31 2" xfId="2128"/>
    <cellStyle name="Currency 32" xfId="2129"/>
    <cellStyle name="Currency 32 2" xfId="2130"/>
    <cellStyle name="Currency 33" xfId="2131"/>
    <cellStyle name="Currency 33 2" xfId="2132"/>
    <cellStyle name="Currency 34" xfId="2133"/>
    <cellStyle name="Currency 34 2" xfId="2134"/>
    <cellStyle name="Currency 35" xfId="2135"/>
    <cellStyle name="Currency 35 2" xfId="2136"/>
    <cellStyle name="Currency 36" xfId="2137"/>
    <cellStyle name="Currency 36 2" xfId="2138"/>
    <cellStyle name="Currency 37" xfId="2139"/>
    <cellStyle name="Currency 37 2" xfId="2140"/>
    <cellStyle name="Currency 38" xfId="2141"/>
    <cellStyle name="Currency 38 2" xfId="2142"/>
    <cellStyle name="Currency 39" xfId="2143"/>
    <cellStyle name="Currency 39 2" xfId="2144"/>
    <cellStyle name="Currency 4" xfId="2145"/>
    <cellStyle name="Currency 4 10" xfId="2146"/>
    <cellStyle name="Currency 4 11" xfId="2147"/>
    <cellStyle name="Currency 4 11 2" xfId="2148"/>
    <cellStyle name="Currency 4 11 3" xfId="2149"/>
    <cellStyle name="Currency 4 11 4" xfId="2150"/>
    <cellStyle name="Currency 4 11 5" xfId="2151"/>
    <cellStyle name="Currency 4 11 5 2" xfId="2152"/>
    <cellStyle name="Currency 4 12" xfId="2153"/>
    <cellStyle name="Currency 4 13" xfId="2154"/>
    <cellStyle name="Currency 4 2" xfId="2155"/>
    <cellStyle name="Currency 4 2 2" xfId="2156"/>
    <cellStyle name="Currency 4 3" xfId="2157"/>
    <cellStyle name="Currency 4 4" xfId="2158"/>
    <cellStyle name="Currency 4 4 2" xfId="2159"/>
    <cellStyle name="Currency 4 4 2 2" xfId="2160"/>
    <cellStyle name="Currency 4 4 3" xfId="2161"/>
    <cellStyle name="Currency 4 5" xfId="2162"/>
    <cellStyle name="Currency 4 5 2" xfId="2163"/>
    <cellStyle name="Currency 4 5 2 2" xfId="2164"/>
    <cellStyle name="Currency 4 5 2 3" xfId="2165"/>
    <cellStyle name="Currency 4 5 2 4" xfId="2166"/>
    <cellStyle name="Currency 4 5 2 4 2" xfId="2167"/>
    <cellStyle name="Currency 4 5 2 4 3" xfId="2168"/>
    <cellStyle name="Currency 4 5 2 4 4" xfId="2169"/>
    <cellStyle name="Currency 4 5 2 4 4 2" xfId="2170"/>
    <cellStyle name="Currency 4 5 2 5" xfId="2171"/>
    <cellStyle name="Currency 4 5 3" xfId="2172"/>
    <cellStyle name="Currency 4 5 4" xfId="2173"/>
    <cellStyle name="Currency 4 5 5" xfId="2174"/>
    <cellStyle name="Currency 4 5 6" xfId="2175"/>
    <cellStyle name="Currency 4 6" xfId="2176"/>
    <cellStyle name="Currency 4 6 2" xfId="2177"/>
    <cellStyle name="Currency 4 7" xfId="2178"/>
    <cellStyle name="Currency 4 7 2" xfId="2179"/>
    <cellStyle name="Currency 4 7 3" xfId="2180"/>
    <cellStyle name="Currency 4 7 4" xfId="2181"/>
    <cellStyle name="Currency 4 7 4 2" xfId="2182"/>
    <cellStyle name="Currency 4 7 4 3" xfId="2183"/>
    <cellStyle name="Currency 4 7 4 4" xfId="2184"/>
    <cellStyle name="Currency 4 7 4 4 2" xfId="2185"/>
    <cellStyle name="Currency 4 7 5" xfId="2186"/>
    <cellStyle name="Currency 4 8" xfId="2187"/>
    <cellStyle name="Currency 4 8 2" xfId="2188"/>
    <cellStyle name="Currency 4 8 2 2" xfId="2189"/>
    <cellStyle name="Currency 4 8 3" xfId="2190"/>
    <cellStyle name="Currency 4 8 3 2" xfId="2191"/>
    <cellStyle name="Currency 4 8 3 3" xfId="2192"/>
    <cellStyle name="Currency 4 8 3 4" xfId="2193"/>
    <cellStyle name="Currency 4 8 3 4 2" xfId="2194"/>
    <cellStyle name="Currency 4 8 4" xfId="2195"/>
    <cellStyle name="Currency 4 9" xfId="2196"/>
    <cellStyle name="Currency 40" xfId="2197"/>
    <cellStyle name="Currency 40 2" xfId="2198"/>
    <cellStyle name="Currency 41" xfId="2199"/>
    <cellStyle name="Currency 41 2" xfId="2200"/>
    <cellStyle name="Currency 41 2 2" xfId="2201"/>
    <cellStyle name="Currency 41 3" xfId="2202"/>
    <cellStyle name="Currency 41 3 2" xfId="2203"/>
    <cellStyle name="Currency 41 4" xfId="2204"/>
    <cellStyle name="Currency 41 4 2" xfId="2205"/>
    <cellStyle name="Currency 42" xfId="2206"/>
    <cellStyle name="Currency 42 2" xfId="2207"/>
    <cellStyle name="Currency 42 2 2" xfId="2208"/>
    <cellStyle name="Currency 42 3" xfId="2209"/>
    <cellStyle name="Currency 42 3 2" xfId="2210"/>
    <cellStyle name="Currency 42 4" xfId="2211"/>
    <cellStyle name="Currency 42 4 2" xfId="2212"/>
    <cellStyle name="Currency 43" xfId="2213"/>
    <cellStyle name="Currency 43 2" xfId="2214"/>
    <cellStyle name="Currency 43 2 2" xfId="2215"/>
    <cellStyle name="Currency 43 3" xfId="2216"/>
    <cellStyle name="Currency 43 3 2" xfId="2217"/>
    <cellStyle name="Currency 43 4" xfId="2218"/>
    <cellStyle name="Currency 43 4 2" xfId="2219"/>
    <cellStyle name="Currency 44" xfId="2220"/>
    <cellStyle name="Currency 44 2" xfId="2221"/>
    <cellStyle name="Currency 44 2 2" xfId="2222"/>
    <cellStyle name="Currency 44 3" xfId="2223"/>
    <cellStyle name="Currency 44 3 2" xfId="2224"/>
    <cellStyle name="Currency 44 4" xfId="2225"/>
    <cellStyle name="Currency 44 4 2" xfId="2226"/>
    <cellStyle name="Currency 45" xfId="2227"/>
    <cellStyle name="Currency 45 2" xfId="2228"/>
    <cellStyle name="Currency 45 2 2" xfId="2229"/>
    <cellStyle name="Currency 45 3" xfId="2230"/>
    <cellStyle name="Currency 45 3 2" xfId="2231"/>
    <cellStyle name="Currency 45 4" xfId="2232"/>
    <cellStyle name="Currency 45 4 2" xfId="2233"/>
    <cellStyle name="Currency 46" xfId="2234"/>
    <cellStyle name="Currency 46 2" xfId="2235"/>
    <cellStyle name="Currency 46 2 2" xfId="2236"/>
    <cellStyle name="Currency 46 3" xfId="2237"/>
    <cellStyle name="Currency 46 3 2" xfId="2238"/>
    <cellStyle name="Currency 46 4" xfId="2239"/>
    <cellStyle name="Currency 46 4 2" xfId="2240"/>
    <cellStyle name="Currency 47" xfId="2241"/>
    <cellStyle name="Currency 47 2" xfId="2242"/>
    <cellStyle name="Currency 47 2 2" xfId="2243"/>
    <cellStyle name="Currency 47 3" xfId="2244"/>
    <cellStyle name="Currency 47 3 2" xfId="2245"/>
    <cellStyle name="Currency 47 4" xfId="2246"/>
    <cellStyle name="Currency 47 4 2" xfId="2247"/>
    <cellStyle name="Currency 48" xfId="2248"/>
    <cellStyle name="Currency 48 2" xfId="2249"/>
    <cellStyle name="Currency 48 2 2" xfId="2250"/>
    <cellStyle name="Currency 48 3" xfId="2251"/>
    <cellStyle name="Currency 48 3 2" xfId="2252"/>
    <cellStyle name="Currency 48 4" xfId="2253"/>
    <cellStyle name="Currency 48 4 2" xfId="2254"/>
    <cellStyle name="Currency 48 4 2 2" xfId="2255"/>
    <cellStyle name="Currency 48 4 3" xfId="2256"/>
    <cellStyle name="Currency 48 5" xfId="2257"/>
    <cellStyle name="Currency 48 5 2" xfId="2258"/>
    <cellStyle name="Currency 49" xfId="2259"/>
    <cellStyle name="Currency 49 2" xfId="2260"/>
    <cellStyle name="Currency 49 2 2" xfId="2261"/>
    <cellStyle name="Currency 49 3" xfId="2262"/>
    <cellStyle name="Currency 49 3 2" xfId="2263"/>
    <cellStyle name="Currency 49 4" xfId="2264"/>
    <cellStyle name="Currency 49 4 2" xfId="2265"/>
    <cellStyle name="Currency 49 4 2 2" xfId="2266"/>
    <cellStyle name="Currency 49 4 3" xfId="2267"/>
    <cellStyle name="Currency 49 5" xfId="2268"/>
    <cellStyle name="Currency 49 5 2" xfId="2269"/>
    <cellStyle name="Currency 5" xfId="2270"/>
    <cellStyle name="Currency 5 2" xfId="2271"/>
    <cellStyle name="Currency 5 2 2" xfId="2272"/>
    <cellStyle name="Currency 5 2 2 2" xfId="2273"/>
    <cellStyle name="Currency 5 2 2 2 2" xfId="2274"/>
    <cellStyle name="Currency 5 2 2 3" xfId="2275"/>
    <cellStyle name="Currency 5 2 3" xfId="2276"/>
    <cellStyle name="Currency 5 2 3 2" xfId="2277"/>
    <cellStyle name="Currency 5 2 4" xfId="2278"/>
    <cellStyle name="Currency 5 3" xfId="2279"/>
    <cellStyle name="Currency 5 3 2" xfId="2280"/>
    <cellStyle name="Currency 5 3 2 2" xfId="2281"/>
    <cellStyle name="Currency 5 3 3" xfId="2282"/>
    <cellStyle name="Currency 5 3 3 2" xfId="2283"/>
    <cellStyle name="Currency 5 3 4" xfId="2284"/>
    <cellStyle name="Currency 5 3 4 2" xfId="2285"/>
    <cellStyle name="Currency 5 4" xfId="2286"/>
    <cellStyle name="Currency 50" xfId="2287"/>
    <cellStyle name="Currency 50 2" xfId="2288"/>
    <cellStyle name="Currency 50 2 2" xfId="2289"/>
    <cellStyle name="Currency 50 3" xfId="2290"/>
    <cellStyle name="Currency 50 3 2" xfId="2291"/>
    <cellStyle name="Currency 50 4" xfId="2292"/>
    <cellStyle name="Currency 50 4 2" xfId="2293"/>
    <cellStyle name="Currency 50 4 2 2" xfId="2294"/>
    <cellStyle name="Currency 50 4 3" xfId="2295"/>
    <cellStyle name="Currency 50 5" xfId="2296"/>
    <cellStyle name="Currency 50 5 2" xfId="2297"/>
    <cellStyle name="Currency 51" xfId="2298"/>
    <cellStyle name="Currency 51 2" xfId="2299"/>
    <cellStyle name="Currency 51 2 2" xfId="2300"/>
    <cellStyle name="Currency 51 3" xfId="2301"/>
    <cellStyle name="Currency 51 3 2" xfId="2302"/>
    <cellStyle name="Currency 51 4" xfId="2303"/>
    <cellStyle name="Currency 51 4 2" xfId="2304"/>
    <cellStyle name="Currency 51 4 2 2" xfId="2305"/>
    <cellStyle name="Currency 51 4 3" xfId="2306"/>
    <cellStyle name="Currency 51 5" xfId="2307"/>
    <cellStyle name="Currency 51 5 2" xfId="2308"/>
    <cellStyle name="Currency 52" xfId="2309"/>
    <cellStyle name="Currency 52 2" xfId="2310"/>
    <cellStyle name="Currency 52 2 2" xfId="2311"/>
    <cellStyle name="Currency 52 3" xfId="2312"/>
    <cellStyle name="Currency 52 3 2" xfId="2313"/>
    <cellStyle name="Currency 52 3 2 2" xfId="2314"/>
    <cellStyle name="Currency 52 3 3" xfId="2315"/>
    <cellStyle name="Currency 52 4" xfId="2316"/>
    <cellStyle name="Currency 52 4 2" xfId="2317"/>
    <cellStyle name="Currency 53" xfId="2318"/>
    <cellStyle name="Currency 53 2" xfId="2319"/>
    <cellStyle name="Currency 53 2 2" xfId="2320"/>
    <cellStyle name="Currency 53 3" xfId="2321"/>
    <cellStyle name="Currency 53 3 2" xfId="2322"/>
    <cellStyle name="Currency 53 3 2 2" xfId="2323"/>
    <cellStyle name="Currency 53 3 3" xfId="2324"/>
    <cellStyle name="Currency 53 4" xfId="2325"/>
    <cellStyle name="Currency 53 4 2" xfId="2326"/>
    <cellStyle name="Currency 54" xfId="2327"/>
    <cellStyle name="Currency 54 2" xfId="2328"/>
    <cellStyle name="Currency 54 2 2" xfId="2329"/>
    <cellStyle name="Currency 54 3" xfId="2330"/>
    <cellStyle name="Currency 54 3 2" xfId="2331"/>
    <cellStyle name="Currency 54 3 2 2" xfId="2332"/>
    <cellStyle name="Currency 54 3 3" xfId="2333"/>
    <cellStyle name="Currency 54 4" xfId="2334"/>
    <cellStyle name="Currency 54 4 2" xfId="2335"/>
    <cellStyle name="Currency 55" xfId="2336"/>
    <cellStyle name="Currency 55 2" xfId="2337"/>
    <cellStyle name="Currency 55 2 2" xfId="2338"/>
    <cellStyle name="Currency 55 3" xfId="2339"/>
    <cellStyle name="Currency 55 3 2" xfId="2340"/>
    <cellStyle name="Currency 55 3 2 2" xfId="2341"/>
    <cellStyle name="Currency 55 3 3" xfId="2342"/>
    <cellStyle name="Currency 55 4" xfId="2343"/>
    <cellStyle name="Currency 55 4 2" xfId="2344"/>
    <cellStyle name="Currency 56" xfId="2345"/>
    <cellStyle name="Currency 56 2" xfId="2346"/>
    <cellStyle name="Currency 56 2 2" xfId="2347"/>
    <cellStyle name="Currency 56 3" xfId="2348"/>
    <cellStyle name="Currency 56 3 2" xfId="2349"/>
    <cellStyle name="Currency 56 3 2 2" xfId="2350"/>
    <cellStyle name="Currency 56 3 3" xfId="2351"/>
    <cellStyle name="Currency 56 4" xfId="2352"/>
    <cellStyle name="Currency 56 4 2" xfId="2353"/>
    <cellStyle name="Currency 57" xfId="2354"/>
    <cellStyle name="Currency 57 2" xfId="2355"/>
    <cellStyle name="Currency 57 2 2" xfId="2356"/>
    <cellStyle name="Currency 57 3" xfId="2357"/>
    <cellStyle name="Currency 57 3 2" xfId="2358"/>
    <cellStyle name="Currency 57 3 2 2" xfId="2359"/>
    <cellStyle name="Currency 57 3 3" xfId="2360"/>
    <cellStyle name="Currency 57 4" xfId="2361"/>
    <cellStyle name="Currency 57 4 2" xfId="2362"/>
    <cellStyle name="Currency 58" xfId="2363"/>
    <cellStyle name="Currency 58 2" xfId="2364"/>
    <cellStyle name="Currency 58 2 2" xfId="2365"/>
    <cellStyle name="Currency 58 3" xfId="2366"/>
    <cellStyle name="Currency 58 3 2" xfId="2367"/>
    <cellStyle name="Currency 58 3 2 2" xfId="2368"/>
    <cellStyle name="Currency 58 3 3" xfId="2369"/>
    <cellStyle name="Currency 58 4" xfId="2370"/>
    <cellStyle name="Currency 58 4 2" xfId="2371"/>
    <cellStyle name="Currency 59" xfId="2372"/>
    <cellStyle name="Currency 59 2" xfId="2373"/>
    <cellStyle name="Currency 59 2 2" xfId="2374"/>
    <cellStyle name="Currency 59 3" xfId="2375"/>
    <cellStyle name="Currency 59 3 2" xfId="2376"/>
    <cellStyle name="Currency 59 3 2 2" xfId="2377"/>
    <cellStyle name="Currency 59 3 3" xfId="2378"/>
    <cellStyle name="Currency 59 4" xfId="2379"/>
    <cellStyle name="Currency 59 4 2" xfId="2380"/>
    <cellStyle name="Currency 6" xfId="2381"/>
    <cellStyle name="Currency 6 2" xfId="2382"/>
    <cellStyle name="Currency 6 2 2" xfId="2383"/>
    <cellStyle name="Currency 6 2 2 2" xfId="2384"/>
    <cellStyle name="Currency 6 2 3" xfId="2385"/>
    <cellStyle name="Currency 6 3" xfId="2386"/>
    <cellStyle name="Currency 60" xfId="2387"/>
    <cellStyle name="Currency 60 2" xfId="2388"/>
    <cellStyle name="Currency 60 2 2" xfId="2389"/>
    <cellStyle name="Currency 60 3" xfId="2390"/>
    <cellStyle name="Currency 60 3 2" xfId="2391"/>
    <cellStyle name="Currency 60 3 2 2" xfId="2392"/>
    <cellStyle name="Currency 60 3 3" xfId="2393"/>
    <cellStyle name="Currency 60 4" xfId="2394"/>
    <cellStyle name="Currency 60 4 2" xfId="2395"/>
    <cellStyle name="Currency 61" xfId="2396"/>
    <cellStyle name="Currency 61 2" xfId="2397"/>
    <cellStyle name="Currency 61 2 2" xfId="2398"/>
    <cellStyle name="Currency 61 3" xfId="2399"/>
    <cellStyle name="Currency 61 3 2" xfId="2400"/>
    <cellStyle name="Currency 61 3 2 2" xfId="2401"/>
    <cellStyle name="Currency 61 3 3" xfId="2402"/>
    <cellStyle name="Currency 61 4" xfId="2403"/>
    <cellStyle name="Currency 61 4 2" xfId="2404"/>
    <cellStyle name="Currency 62" xfId="2405"/>
    <cellStyle name="Currency 62 2" xfId="2406"/>
    <cellStyle name="Currency 62 2 2" xfId="2407"/>
    <cellStyle name="Currency 62 3" xfId="2408"/>
    <cellStyle name="Currency 62 3 2" xfId="2409"/>
    <cellStyle name="Currency 62 3 2 2" xfId="2410"/>
    <cellStyle name="Currency 62 3 3" xfId="2411"/>
    <cellStyle name="Currency 62 4" xfId="2412"/>
    <cellStyle name="Currency 62 4 2" xfId="2413"/>
    <cellStyle name="Currency 63" xfId="2414"/>
    <cellStyle name="Currency 63 2" xfId="2415"/>
    <cellStyle name="Currency 63 2 2" xfId="2416"/>
    <cellStyle name="Currency 63 3" xfId="2417"/>
    <cellStyle name="Currency 63 3 2" xfId="2418"/>
    <cellStyle name="Currency 63 3 2 2" xfId="2419"/>
    <cellStyle name="Currency 63 3 3" xfId="2420"/>
    <cellStyle name="Currency 63 4" xfId="2421"/>
    <cellStyle name="Currency 63 4 2" xfId="2422"/>
    <cellStyle name="Currency 64" xfId="2423"/>
    <cellStyle name="Currency 64 2" xfId="2424"/>
    <cellStyle name="Currency 64 2 2" xfId="2425"/>
    <cellStyle name="Currency 64 3" xfId="2426"/>
    <cellStyle name="Currency 64 3 2" xfId="2427"/>
    <cellStyle name="Currency 64 4" xfId="2428"/>
    <cellStyle name="Currency 64 4 2" xfId="2429"/>
    <cellStyle name="Currency 64 5" xfId="2430"/>
    <cellStyle name="Currency 64 5 2" xfId="2431"/>
    <cellStyle name="Currency 64 5 2 2" xfId="2432"/>
    <cellStyle name="Currency 64 5 3" xfId="2433"/>
    <cellStyle name="Currency 64 6" xfId="2434"/>
    <cellStyle name="Currency 64 6 2" xfId="2435"/>
    <cellStyle name="Currency 65" xfId="2436"/>
    <cellStyle name="Currency 65 2" xfId="2437"/>
    <cellStyle name="Currency 65 2 2" xfId="2438"/>
    <cellStyle name="Currency 65 3" xfId="2439"/>
    <cellStyle name="Currency 65 3 2" xfId="2440"/>
    <cellStyle name="Currency 65 4" xfId="2441"/>
    <cellStyle name="Currency 65 4 2" xfId="2442"/>
    <cellStyle name="Currency 65 5" xfId="2443"/>
    <cellStyle name="Currency 65 5 2" xfId="2444"/>
    <cellStyle name="Currency 65 5 2 2" xfId="2445"/>
    <cellStyle name="Currency 65 5 3" xfId="2446"/>
    <cellStyle name="Currency 65 6" xfId="2447"/>
    <cellStyle name="Currency 65 6 2" xfId="2448"/>
    <cellStyle name="Currency 66" xfId="2449"/>
    <cellStyle name="Currency 66 2" xfId="2450"/>
    <cellStyle name="Currency 66 2 2" xfId="2451"/>
    <cellStyle name="Currency 66 3" xfId="2452"/>
    <cellStyle name="Currency 66 3 2" xfId="2453"/>
    <cellStyle name="Currency 66 4" xfId="2454"/>
    <cellStyle name="Currency 66 4 2" xfId="2455"/>
    <cellStyle name="Currency 66 5" xfId="2456"/>
    <cellStyle name="Currency 66 5 2" xfId="2457"/>
    <cellStyle name="Currency 66 5 2 2" xfId="2458"/>
    <cellStyle name="Currency 66 5 3" xfId="2459"/>
    <cellStyle name="Currency 66 6" xfId="2460"/>
    <cellStyle name="Currency 66 6 2" xfId="2461"/>
    <cellStyle name="Currency 67" xfId="2462"/>
    <cellStyle name="Currency 67 2" xfId="2463"/>
    <cellStyle name="Currency 67 2 2" xfId="2464"/>
    <cellStyle name="Currency 67 3" xfId="2465"/>
    <cellStyle name="Currency 67 3 2" xfId="2466"/>
    <cellStyle name="Currency 67 4" xfId="2467"/>
    <cellStyle name="Currency 67 4 2" xfId="2468"/>
    <cellStyle name="Currency 67 5" xfId="2469"/>
    <cellStyle name="Currency 67 5 2" xfId="2470"/>
    <cellStyle name="Currency 67 5 2 2" xfId="2471"/>
    <cellStyle name="Currency 67 5 3" xfId="2472"/>
    <cellStyle name="Currency 67 6" xfId="2473"/>
    <cellStyle name="Currency 67 6 2" xfId="2474"/>
    <cellStyle name="Currency 68" xfId="2475"/>
    <cellStyle name="Currency 68 2" xfId="2476"/>
    <cellStyle name="Currency 68 2 2" xfId="2477"/>
    <cellStyle name="Currency 68 3" xfId="2478"/>
    <cellStyle name="Currency 68 3 2" xfId="2479"/>
    <cellStyle name="Currency 68 4" xfId="2480"/>
    <cellStyle name="Currency 68 4 2" xfId="2481"/>
    <cellStyle name="Currency 68 5" xfId="2482"/>
    <cellStyle name="Currency 68 5 2" xfId="2483"/>
    <cellStyle name="Currency 68 5 2 2" xfId="2484"/>
    <cellStyle name="Currency 68 5 3" xfId="2485"/>
    <cellStyle name="Currency 68 6" xfId="2486"/>
    <cellStyle name="Currency 68 6 2" xfId="2487"/>
    <cellStyle name="Currency 69" xfId="2488"/>
    <cellStyle name="Currency 69 2" xfId="2489"/>
    <cellStyle name="Currency 69 2 2" xfId="2490"/>
    <cellStyle name="Currency 69 3" xfId="2491"/>
    <cellStyle name="Currency 69 3 2" xfId="2492"/>
    <cellStyle name="Currency 69 4" xfId="2493"/>
    <cellStyle name="Currency 69 4 2" xfId="2494"/>
    <cellStyle name="Currency 69 5" xfId="2495"/>
    <cellStyle name="Currency 69 5 2" xfId="2496"/>
    <cellStyle name="Currency 69 5 2 2" xfId="2497"/>
    <cellStyle name="Currency 69 5 3" xfId="2498"/>
    <cellStyle name="Currency 69 6" xfId="2499"/>
    <cellStyle name="Currency 69 6 2" xfId="2500"/>
    <cellStyle name="Currency 7" xfId="2501"/>
    <cellStyle name="Currency 7 2" xfId="2502"/>
    <cellStyle name="Currency 7 2 2" xfId="2503"/>
    <cellStyle name="Currency 7 2 2 2" xfId="2504"/>
    <cellStyle name="Currency 7 2 3" xfId="2505"/>
    <cellStyle name="Currency 7 2 3 2" xfId="2506"/>
    <cellStyle name="Currency 7 2 3 2 2" xfId="2507"/>
    <cellStyle name="Currency 7 2 3 3" xfId="2508"/>
    <cellStyle name="Currency 7 2 4" xfId="2509"/>
    <cellStyle name="Currency 7 3" xfId="2510"/>
    <cellStyle name="Currency 7 3 2" xfId="2511"/>
    <cellStyle name="Currency 7 3 2 2" xfId="2512"/>
    <cellStyle name="Currency 7 3 3" xfId="2513"/>
    <cellStyle name="Currency 7 3 3 2" xfId="2514"/>
    <cellStyle name="Currency 7 4" xfId="2515"/>
    <cellStyle name="Currency 7 4 2" xfId="2516"/>
    <cellStyle name="Currency 70" xfId="2517"/>
    <cellStyle name="Currency 70 2" xfId="2518"/>
    <cellStyle name="Currency 70 2 2" xfId="2519"/>
    <cellStyle name="Currency 70 3" xfId="2520"/>
    <cellStyle name="Currency 70 3 2" xfId="2521"/>
    <cellStyle name="Currency 70 3 2 2" xfId="2522"/>
    <cellStyle name="Currency 70 3 3" xfId="2523"/>
    <cellStyle name="Currency 70 4" xfId="2524"/>
    <cellStyle name="Currency 70 4 2" xfId="2525"/>
    <cellStyle name="Currency 71" xfId="2526"/>
    <cellStyle name="Currency 71 2" xfId="2527"/>
    <cellStyle name="Currency 71 2 2" xfId="2528"/>
    <cellStyle name="Currency 71 3" xfId="2529"/>
    <cellStyle name="Currency 71 3 2" xfId="2530"/>
    <cellStyle name="Currency 71 3 2 2" xfId="2531"/>
    <cellStyle name="Currency 71 3 3" xfId="2532"/>
    <cellStyle name="Currency 71 4" xfId="2533"/>
    <cellStyle name="Currency 71 4 2" xfId="2534"/>
    <cellStyle name="Currency 72" xfId="2535"/>
    <cellStyle name="Currency 72 2" xfId="2536"/>
    <cellStyle name="Currency 72 2 2" xfId="2537"/>
    <cellStyle name="Currency 72 3" xfId="2538"/>
    <cellStyle name="Currency 72 3 2" xfId="2539"/>
    <cellStyle name="Currency 72 3 2 2" xfId="2540"/>
    <cellStyle name="Currency 72 3 3" xfId="2541"/>
    <cellStyle name="Currency 72 4" xfId="2542"/>
    <cellStyle name="Currency 72 4 2" xfId="2543"/>
    <cellStyle name="Currency 73" xfId="2544"/>
    <cellStyle name="Currency 73 2" xfId="2545"/>
    <cellStyle name="Currency 73 2 2" xfId="2546"/>
    <cellStyle name="Currency 73 3" xfId="2547"/>
    <cellStyle name="Currency 73 3 2" xfId="2548"/>
    <cellStyle name="Currency 73 3 2 2" xfId="2549"/>
    <cellStyle name="Currency 73 3 3" xfId="2550"/>
    <cellStyle name="Currency 73 4" xfId="2551"/>
    <cellStyle name="Currency 73 4 2" xfId="2552"/>
    <cellStyle name="Currency 74" xfId="2553"/>
    <cellStyle name="Currency 74 2" xfId="2554"/>
    <cellStyle name="Currency 75" xfId="2555"/>
    <cellStyle name="Currency 75 2" xfId="2556"/>
    <cellStyle name="Currency 75 2 2" xfId="2557"/>
    <cellStyle name="Currency 75 3" xfId="2558"/>
    <cellStyle name="Currency 75 3 2" xfId="2559"/>
    <cellStyle name="Currency 75 4" xfId="2560"/>
    <cellStyle name="Currency 75 4 2" xfId="2561"/>
    <cellStyle name="Currency 75 4 3" xfId="2562"/>
    <cellStyle name="Currency 75 4 4" xfId="2563"/>
    <cellStyle name="Currency 75 4 4 2" xfId="2564"/>
    <cellStyle name="Currency 75 5" xfId="2565"/>
    <cellStyle name="Currency 76" xfId="2566"/>
    <cellStyle name="Currency 76 2" xfId="2567"/>
    <cellStyle name="Currency 76 2 2" xfId="2568"/>
    <cellStyle name="Currency 76 3" xfId="2569"/>
    <cellStyle name="Currency 76 3 2" xfId="2570"/>
    <cellStyle name="Currency 76 4" xfId="2571"/>
    <cellStyle name="Currency 76 4 2" xfId="2572"/>
    <cellStyle name="Currency 77" xfId="2573"/>
    <cellStyle name="Currency 77 2" xfId="2574"/>
    <cellStyle name="Currency 78" xfId="2575"/>
    <cellStyle name="Currency 78 2" xfId="2576"/>
    <cellStyle name="Currency 79" xfId="2577"/>
    <cellStyle name="Currency 79 2" xfId="2578"/>
    <cellStyle name="Currency 79 2 2" xfId="2579"/>
    <cellStyle name="Currency 79 3" xfId="2580"/>
    <cellStyle name="Currency 79 3 2" xfId="2581"/>
    <cellStyle name="Currency 8" xfId="2582"/>
    <cellStyle name="Currency 8 2" xfId="2583"/>
    <cellStyle name="Currency 8 2 2" xfId="2584"/>
    <cellStyle name="Currency 8 2 2 2" xfId="2585"/>
    <cellStyle name="Currency 8 2 3" xfId="2586"/>
    <cellStyle name="Currency 8 2 3 2" xfId="2587"/>
    <cellStyle name="Currency 8 2 4" xfId="2588"/>
    <cellStyle name="Currency 8 2 4 2" xfId="2589"/>
    <cellStyle name="Currency 8 2 5" xfId="2590"/>
    <cellStyle name="Currency 8 3" xfId="2591"/>
    <cellStyle name="Currency 8 3 2" xfId="2592"/>
    <cellStyle name="Currency 8 4" xfId="2593"/>
    <cellStyle name="Currency 8 4 2" xfId="2594"/>
    <cellStyle name="Currency 8 4 2 2" xfId="2595"/>
    <cellStyle name="Currency 8 4 3" xfId="2596"/>
    <cellStyle name="Currency 8 4 3 2" xfId="2597"/>
    <cellStyle name="Currency 8 4 4" xfId="2598"/>
    <cellStyle name="Currency 8 4 4 2" xfId="2599"/>
    <cellStyle name="Currency 8 4 4 3" xfId="2600"/>
    <cellStyle name="Currency 8 4 4 4" xfId="2601"/>
    <cellStyle name="Currency 8 4 4 4 2" xfId="2602"/>
    <cellStyle name="Currency 8 4 5" xfId="2603"/>
    <cellStyle name="Currency 8 5" xfId="2604"/>
    <cellStyle name="Currency 8 5 2" xfId="2605"/>
    <cellStyle name="Currency 8 6" xfId="2606"/>
    <cellStyle name="Currency 8 6 2" xfId="2607"/>
    <cellStyle name="Currency 8 7" xfId="2608"/>
    <cellStyle name="Currency 8 8" xfId="2609"/>
    <cellStyle name="Currency 80" xfId="2610"/>
    <cellStyle name="Currency 80 2" xfId="2611"/>
    <cellStyle name="Currency 81" xfId="2612"/>
    <cellStyle name="Currency 81 2" xfId="2613"/>
    <cellStyle name="Currency 82" xfId="2614"/>
    <cellStyle name="Currency 82 2" xfId="2615"/>
    <cellStyle name="Currency 83" xfId="2616"/>
    <cellStyle name="Currency 83 2" xfId="2617"/>
    <cellStyle name="Currency 84" xfId="2618"/>
    <cellStyle name="Currency 84 2" xfId="2619"/>
    <cellStyle name="Currency 85" xfId="2620"/>
    <cellStyle name="Currency 85 2" xfId="2621"/>
    <cellStyle name="Currency 86" xfId="2622"/>
    <cellStyle name="Currency 86 2" xfId="2623"/>
    <cellStyle name="Currency 87" xfId="2624"/>
    <cellStyle name="Currency 87 2" xfId="2625"/>
    <cellStyle name="Currency 88" xfId="2626"/>
    <cellStyle name="Currency 88 2" xfId="2627"/>
    <cellStyle name="Currency 89" xfId="2628"/>
    <cellStyle name="Currency 89 2" xfId="2629"/>
    <cellStyle name="Currency 9" xfId="2630"/>
    <cellStyle name="Currency 9 2" xfId="2631"/>
    <cellStyle name="Currency 9 2 2" xfId="2632"/>
    <cellStyle name="Currency 9 3" xfId="2633"/>
    <cellStyle name="Currency 9 4" xfId="2634"/>
    <cellStyle name="Currency 90" xfId="2635"/>
    <cellStyle name="Currency 90 2" xfId="2636"/>
    <cellStyle name="Currency 91" xfId="2637"/>
    <cellStyle name="Currency 91 2" xfId="2638"/>
    <cellStyle name="Currency 92" xfId="2639"/>
    <cellStyle name="Currency 92 2" xfId="2640"/>
    <cellStyle name="Currency 93" xfId="2641"/>
    <cellStyle name="Currency 93 2" xfId="2642"/>
    <cellStyle name="Currency 94" xfId="2643"/>
    <cellStyle name="Currency 94 2" xfId="2644"/>
    <cellStyle name="Currency 95" xfId="2645"/>
    <cellStyle name="Currency 95 2" xfId="2646"/>
    <cellStyle name="Currency 96" xfId="2647"/>
    <cellStyle name="Currency 96 2" xfId="2648"/>
    <cellStyle name="Currency 97" xfId="2649"/>
    <cellStyle name="Currency 97 2" xfId="2650"/>
    <cellStyle name="Currency 98" xfId="2651"/>
    <cellStyle name="Currency 98 2" xfId="2652"/>
    <cellStyle name="Currency 99" xfId="2653"/>
    <cellStyle name="Currency 99 2" xfId="2654"/>
    <cellStyle name="Explanatory Text 2" xfId="2655"/>
    <cellStyle name="General" xfId="2656"/>
    <cellStyle name="Good 2" xfId="2657"/>
    <cellStyle name="Heading 1 2" xfId="2658"/>
    <cellStyle name="Heading 2 2" xfId="2659"/>
    <cellStyle name="Heading 3 2" xfId="2660"/>
    <cellStyle name="Heading 4 2" xfId="2661"/>
    <cellStyle name="Hyperlink 2" xfId="2662"/>
    <cellStyle name="Hyperlink 2 2" xfId="2663"/>
    <cellStyle name="Hyperlink 2 2 2" xfId="2664"/>
    <cellStyle name="Hyperlink 2 2 3" xfId="2665"/>
    <cellStyle name="Hyperlink 2 3" xfId="2666"/>
    <cellStyle name="Hyperlink 3" xfId="2667"/>
    <cellStyle name="Hyperlink 3 2" xfId="2668"/>
    <cellStyle name="Hyperlink 3 3" xfId="2669"/>
    <cellStyle name="Hyperlink 3 3 2" xfId="2670"/>
    <cellStyle name="Hyperlink 4" xfId="2671"/>
    <cellStyle name="Hyperlink 4 2" xfId="2672"/>
    <cellStyle name="Hyperlink 4 3" xfId="2673"/>
    <cellStyle name="Hyperlink 5" xfId="2674"/>
    <cellStyle name="Hyperlink 5 2" xfId="2675"/>
    <cellStyle name="Hyperlink 5 3" xfId="2676"/>
    <cellStyle name="Hyperlink 6" xfId="2677"/>
    <cellStyle name="Hyperlink 7" xfId="2678"/>
    <cellStyle name="Indent" xfId="2679"/>
    <cellStyle name="Indent2" xfId="2680"/>
    <cellStyle name="Input 2" xfId="2681"/>
    <cellStyle name="Linked Cell 2" xfId="2682"/>
    <cellStyle name="Neutral 2" xfId="2683"/>
    <cellStyle name="Normal" xfId="0" builtinId="0"/>
    <cellStyle name="Normal (0)" xfId="2684"/>
    <cellStyle name="Normal 10" xfId="2685"/>
    <cellStyle name="Normal 10 2" xfId="2686"/>
    <cellStyle name="Normal 10 2 2" xfId="2687"/>
    <cellStyle name="Normal 10 3" xfId="2688"/>
    <cellStyle name="Normal 10 4" xfId="2689"/>
    <cellStyle name="Normal 100" xfId="2690"/>
    <cellStyle name="Normal 101" xfId="2691"/>
    <cellStyle name="Normal 102" xfId="2692"/>
    <cellStyle name="Normal 103" xfId="2693"/>
    <cellStyle name="Normal 104" xfId="2694"/>
    <cellStyle name="Normal 105" xfId="2695"/>
    <cellStyle name="Normal 106" xfId="2696"/>
    <cellStyle name="Normal 107" xfId="2697"/>
    <cellStyle name="Normal 108" xfId="2698"/>
    <cellStyle name="Normal 109" xfId="2699"/>
    <cellStyle name="Normal 11" xfId="2700"/>
    <cellStyle name="Normal 11 2" xfId="2701"/>
    <cellStyle name="Normal 11 2 2" xfId="2702"/>
    <cellStyle name="Normal 11 2 3" xfId="2703"/>
    <cellStyle name="Normal 110" xfId="2704"/>
    <cellStyle name="Normal 111" xfId="2705"/>
    <cellStyle name="Normal 112" xfId="2706"/>
    <cellStyle name="Normal 113" xfId="2707"/>
    <cellStyle name="Normal 114" xfId="2708"/>
    <cellStyle name="Normal 115" xfId="2709"/>
    <cellStyle name="Normal 116" xfId="2710"/>
    <cellStyle name="Normal 117" xfId="2711"/>
    <cellStyle name="Normal 118" xfId="2712"/>
    <cellStyle name="Normal 119" xfId="2713"/>
    <cellStyle name="Normal 12" xfId="2714"/>
    <cellStyle name="Normal 12 2" xfId="2715"/>
    <cellStyle name="Normal 12 2 2" xfId="2716"/>
    <cellStyle name="Normal 12 2 2 2" xfId="2717"/>
    <cellStyle name="Normal 12 2 3" xfId="2718"/>
    <cellStyle name="Normal 12 2 3 2" xfId="2719"/>
    <cellStyle name="Normal 12 2 3 2 2" xfId="2720"/>
    <cellStyle name="Normal 12 2 3 3" xfId="2721"/>
    <cellStyle name="Normal 12 2 4" xfId="2722"/>
    <cellStyle name="Normal 12 3" xfId="2723"/>
    <cellStyle name="Normal 12 3 2" xfId="2724"/>
    <cellStyle name="Normal 12 4" xfId="2725"/>
    <cellStyle name="Normal 12 4 2" xfId="2726"/>
    <cellStyle name="Normal 12 4 2 2" xfId="2727"/>
    <cellStyle name="Normal 12 4 3" xfId="2728"/>
    <cellStyle name="Normal 12 4 3 2" xfId="2729"/>
    <cellStyle name="Normal 12 5" xfId="2730"/>
    <cellStyle name="Normal 12 5 2" xfId="2731"/>
    <cellStyle name="Normal 12 6" xfId="2732"/>
    <cellStyle name="Normal 120" xfId="2733"/>
    <cellStyle name="Normal 121" xfId="2734"/>
    <cellStyle name="Normal 122" xfId="2735"/>
    <cellStyle name="Normal 123" xfId="2736"/>
    <cellStyle name="Normal 124" xfId="2737"/>
    <cellStyle name="Normal 125" xfId="2738"/>
    <cellStyle name="Normal 126" xfId="2739"/>
    <cellStyle name="Normal 127" xfId="2740"/>
    <cellStyle name="Normal 128" xfId="2741"/>
    <cellStyle name="Normal 129" xfId="2742"/>
    <cellStyle name="Normal 129 2" xfId="2743"/>
    <cellStyle name="Normal 129 2 2" xfId="2744"/>
    <cellStyle name="Normal 129 3" xfId="2745"/>
    <cellStyle name="Normal 129 4" xfId="2746"/>
    <cellStyle name="Normal 13" xfId="2747"/>
    <cellStyle name="Normal 13 2" xfId="2748"/>
    <cellStyle name="Normal 13 2 2" xfId="2749"/>
    <cellStyle name="Normal 13 2 2 2" xfId="2750"/>
    <cellStyle name="Normal 13 2 3" xfId="2751"/>
    <cellStyle name="Normal 13 3" xfId="2752"/>
    <cellStyle name="Normal 13 3 2" xfId="2753"/>
    <cellStyle name="Normal 13 3 2 2" xfId="2754"/>
    <cellStyle name="Normal 13 3 3" xfId="2755"/>
    <cellStyle name="Normal 13 3 3 2" xfId="2756"/>
    <cellStyle name="Normal 13 3 3 2 2" xfId="2757"/>
    <cellStyle name="Normal 13 3 3 3" xfId="2758"/>
    <cellStyle name="Normal 13 3 4" xfId="2759"/>
    <cellStyle name="Normal 13 4" xfId="2760"/>
    <cellStyle name="Normal 13 4 2" xfId="2761"/>
    <cellStyle name="Normal 13 4 3" xfId="2762"/>
    <cellStyle name="Normal 130" xfId="2763"/>
    <cellStyle name="Normal 130 2" xfId="2764"/>
    <cellStyle name="Normal 131" xfId="2765"/>
    <cellStyle name="Normal 131 2" xfId="2766"/>
    <cellStyle name="Normal 131 3" xfId="2767"/>
    <cellStyle name="Normal 131 3 2" xfId="2768"/>
    <cellStyle name="Normal 131 4" xfId="2769"/>
    <cellStyle name="Normal 131 4 2" xfId="2770"/>
    <cellStyle name="Normal 131 5" xfId="2771"/>
    <cellStyle name="Normal 131 6" xfId="2772"/>
    <cellStyle name="Normal 131 6 2" xfId="2773"/>
    <cellStyle name="Normal 131 7" xfId="2774"/>
    <cellStyle name="Normal 131 7 2" xfId="2775"/>
    <cellStyle name="Normal 131 8" xfId="2776"/>
    <cellStyle name="Normal 132" xfId="2777"/>
    <cellStyle name="Normal 132 2" xfId="2778"/>
    <cellStyle name="Normal 132 2 2" xfId="2779"/>
    <cellStyle name="Normal 132 3" xfId="2780"/>
    <cellStyle name="Normal 132 4" xfId="2781"/>
    <cellStyle name="Normal 132 5" xfId="2782"/>
    <cellStyle name="Normal 132 5 2" xfId="2783"/>
    <cellStyle name="Normal 133" xfId="2784"/>
    <cellStyle name="Normal 133 2" xfId="2785"/>
    <cellStyle name="Normal 134" xfId="2786"/>
    <cellStyle name="Normal 134 2" xfId="2787"/>
    <cellStyle name="Normal 134 2 2" xfId="2788"/>
    <cellStyle name="Normal 134 3" xfId="2789"/>
    <cellStyle name="Normal 134 3 2" xfId="2790"/>
    <cellStyle name="Normal 134 4" xfId="2791"/>
    <cellStyle name="Normal 135" xfId="2792"/>
    <cellStyle name="Normal 135 2" xfId="2793"/>
    <cellStyle name="Normal 136" xfId="2794"/>
    <cellStyle name="Normal 136 2" xfId="2795"/>
    <cellStyle name="Normal 137" xfId="2796"/>
    <cellStyle name="Normal 137 2" xfId="2797"/>
    <cellStyle name="Normal 138" xfId="2798"/>
    <cellStyle name="Normal 139" xfId="2799"/>
    <cellStyle name="Normal 139 2" xfId="2800"/>
    <cellStyle name="Normal 14" xfId="2801"/>
    <cellStyle name="Normal 14 2" xfId="2802"/>
    <cellStyle name="Normal 14 2 2" xfId="2803"/>
    <cellStyle name="Normal 14 3" xfId="2804"/>
    <cellStyle name="Normal 14 3 2" xfId="2805"/>
    <cellStyle name="Normal 14 3 2 2" xfId="2806"/>
    <cellStyle name="Normal 14 4" xfId="2807"/>
    <cellStyle name="Normal 14 4 2" xfId="2808"/>
    <cellStyle name="Normal 14 5" xfId="2809"/>
    <cellStyle name="Normal 14 5 2" xfId="2810"/>
    <cellStyle name="Normal 14 5 2 2" xfId="2811"/>
    <cellStyle name="Normal 14 5 3" xfId="2812"/>
    <cellStyle name="Normal 14 5 3 2" xfId="2813"/>
    <cellStyle name="Normal 14 6" xfId="2814"/>
    <cellStyle name="Normal 140" xfId="2815"/>
    <cellStyle name="Normal 140 2" xfId="2816"/>
    <cellStyle name="Normal 140 3" xfId="2817"/>
    <cellStyle name="Normal 141" xfId="2818"/>
    <cellStyle name="Normal 141 2" xfId="2819"/>
    <cellStyle name="Normal 141 3" xfId="2820"/>
    <cellStyle name="Normal 142" xfId="2821"/>
    <cellStyle name="Normal 142 2" xfId="2822"/>
    <cellStyle name="Normal 142 2 2" xfId="2823"/>
    <cellStyle name="Normal 142 2 2 2" xfId="2824"/>
    <cellStyle name="Normal 142 2 2 2 2" xfId="2825"/>
    <cellStyle name="Normal 142 2 2 3" xfId="2826"/>
    <cellStyle name="Normal 142 2 2 3 2" xfId="2827"/>
    <cellStyle name="Normal 142 3" xfId="2828"/>
    <cellStyle name="Normal 142 4" xfId="2829"/>
    <cellStyle name="Normal 142 4 2" xfId="2830"/>
    <cellStyle name="Normal 142 5" xfId="2831"/>
    <cellStyle name="Normal 142 5 2" xfId="2832"/>
    <cellStyle name="Normal 142 5 2 2" xfId="2833"/>
    <cellStyle name="Normal 142 5 3" xfId="2834"/>
    <cellStyle name="Normal 142 5 3 2" xfId="2835"/>
    <cellStyle name="Normal 143" xfId="2836"/>
    <cellStyle name="Normal 143 2" xfId="2837"/>
    <cellStyle name="Normal 143 2 2" xfId="2838"/>
    <cellStyle name="Normal 143 2 2 2" xfId="2839"/>
    <cellStyle name="Normal 143 2 2 2 2" xfId="2840"/>
    <cellStyle name="Normal 143 2 2 3" xfId="2841"/>
    <cellStyle name="Normal 143 2 2 3 2" xfId="2842"/>
    <cellStyle name="Normal 143 3" xfId="2843"/>
    <cellStyle name="Normal 143 4" xfId="2844"/>
    <cellStyle name="Normal 143 4 2" xfId="2845"/>
    <cellStyle name="Normal 143 5" xfId="2846"/>
    <cellStyle name="Normal 143 5 2" xfId="2847"/>
    <cellStyle name="Normal 143 5 2 2" xfId="2848"/>
    <cellStyle name="Normal 143 5 3" xfId="2849"/>
    <cellStyle name="Normal 143 5 3 2" xfId="2850"/>
    <cellStyle name="Normal 144" xfId="2851"/>
    <cellStyle name="Normal 144 2" xfId="2852"/>
    <cellStyle name="Normal 144 2 2" xfId="2853"/>
    <cellStyle name="Normal 144 2 2 2" xfId="2854"/>
    <cellStyle name="Normal 144 2 2 2 2" xfId="2855"/>
    <cellStyle name="Normal 144 2 2 3" xfId="2856"/>
    <cellStyle name="Normal 144 2 2 3 2" xfId="2857"/>
    <cellStyle name="Normal 144 3" xfId="2858"/>
    <cellStyle name="Normal 144 4" xfId="2859"/>
    <cellStyle name="Normal 144 4 2" xfId="2860"/>
    <cellStyle name="Normal 144 5" xfId="2861"/>
    <cellStyle name="Normal 144 5 2" xfId="2862"/>
    <cellStyle name="Normal 144 5 2 2" xfId="2863"/>
    <cellStyle name="Normal 144 5 3" xfId="2864"/>
    <cellStyle name="Normal 144 5 3 2" xfId="2865"/>
    <cellStyle name="Normal 145" xfId="2866"/>
    <cellStyle name="Normal 145 2" xfId="2867"/>
    <cellStyle name="Normal 145 2 2" xfId="2868"/>
    <cellStyle name="Normal 145 2 2 2" xfId="2869"/>
    <cellStyle name="Normal 145 2 2 2 2" xfId="2870"/>
    <cellStyle name="Normal 145 2 2 3" xfId="2871"/>
    <cellStyle name="Normal 145 2 2 3 2" xfId="2872"/>
    <cellStyle name="Normal 145 3" xfId="2873"/>
    <cellStyle name="Normal 145 4" xfId="2874"/>
    <cellStyle name="Normal 145 4 2" xfId="2875"/>
    <cellStyle name="Normal 145 5" xfId="2876"/>
    <cellStyle name="Normal 145 5 2" xfId="2877"/>
    <cellStyle name="Normal 145 5 2 2" xfId="2878"/>
    <cellStyle name="Normal 145 5 3" xfId="2879"/>
    <cellStyle name="Normal 145 5 3 2" xfId="2880"/>
    <cellStyle name="Normal 146" xfId="2881"/>
    <cellStyle name="Normal 146 2" xfId="2882"/>
    <cellStyle name="Normal 146 2 2" xfId="2883"/>
    <cellStyle name="Normal 146 2 2 2" xfId="2884"/>
    <cellStyle name="Normal 146 2 2 2 2" xfId="2885"/>
    <cellStyle name="Normal 146 2 2 3" xfId="2886"/>
    <cellStyle name="Normal 146 2 2 3 2" xfId="2887"/>
    <cellStyle name="Normal 146 3" xfId="2888"/>
    <cellStyle name="Normal 146 4" xfId="2889"/>
    <cellStyle name="Normal 146 4 2" xfId="2890"/>
    <cellStyle name="Normal 146 5" xfId="2891"/>
    <cellStyle name="Normal 146 5 2" xfId="2892"/>
    <cellStyle name="Normal 146 5 2 2" xfId="2893"/>
    <cellStyle name="Normal 146 5 3" xfId="2894"/>
    <cellStyle name="Normal 146 5 3 2" xfId="2895"/>
    <cellStyle name="Normal 147" xfId="2896"/>
    <cellStyle name="Normal 147 2" xfId="2897"/>
    <cellStyle name="Normal 147 2 2" xfId="2898"/>
    <cellStyle name="Normal 147 2 2 2" xfId="2899"/>
    <cellStyle name="Normal 147 2 2 2 2" xfId="2900"/>
    <cellStyle name="Normal 147 2 2 3" xfId="2901"/>
    <cellStyle name="Normal 147 2 2 3 2" xfId="2902"/>
    <cellStyle name="Normal 147 3" xfId="2903"/>
    <cellStyle name="Normal 147 4" xfId="2904"/>
    <cellStyle name="Normal 147 4 2" xfId="2905"/>
    <cellStyle name="Normal 147 5" xfId="2906"/>
    <cellStyle name="Normal 147 5 2" xfId="2907"/>
    <cellStyle name="Normal 147 5 2 2" xfId="2908"/>
    <cellStyle name="Normal 147 5 3" xfId="2909"/>
    <cellStyle name="Normal 147 5 3 2" xfId="2910"/>
    <cellStyle name="Normal 148" xfId="2911"/>
    <cellStyle name="Normal 148 2" xfId="2912"/>
    <cellStyle name="Normal 148 2 2" xfId="2913"/>
    <cellStyle name="Normal 148 2 2 2" xfId="2914"/>
    <cellStyle name="Normal 148 2 2 2 2" xfId="2915"/>
    <cellStyle name="Normal 148 2 2 3" xfId="2916"/>
    <cellStyle name="Normal 148 2 2 3 2" xfId="2917"/>
    <cellStyle name="Normal 148 3" xfId="2918"/>
    <cellStyle name="Normal 148 4" xfId="2919"/>
    <cellStyle name="Normal 148 4 2" xfId="2920"/>
    <cellStyle name="Normal 148 5" xfId="2921"/>
    <cellStyle name="Normal 148 5 2" xfId="2922"/>
    <cellStyle name="Normal 148 5 2 2" xfId="2923"/>
    <cellStyle name="Normal 148 5 3" xfId="2924"/>
    <cellStyle name="Normal 148 5 3 2" xfId="2925"/>
    <cellStyle name="Normal 149" xfId="2926"/>
    <cellStyle name="Normal 149 2" xfId="2927"/>
    <cellStyle name="Normal 149 2 2" xfId="2928"/>
    <cellStyle name="Normal 149 2 2 2" xfId="2929"/>
    <cellStyle name="Normal 149 2 3" xfId="2930"/>
    <cellStyle name="Normal 149 2 3 2" xfId="2931"/>
    <cellStyle name="Normal 149 2 3 2 2" xfId="2932"/>
    <cellStyle name="Normal 149 2 3 3" xfId="2933"/>
    <cellStyle name="Normal 149 2 3 3 2" xfId="2934"/>
    <cellStyle name="Normal 149 2 4" xfId="2935"/>
    <cellStyle name="Normal 149 3" xfId="2936"/>
    <cellStyle name="Normal 149 3 2" xfId="2937"/>
    <cellStyle name="Normal 149 4" xfId="2938"/>
    <cellStyle name="Normal 149 4 2" xfId="2939"/>
    <cellStyle name="Normal 149 5" xfId="2940"/>
    <cellStyle name="Normal 149 5 2" xfId="2941"/>
    <cellStyle name="Normal 149 5 2 2" xfId="2942"/>
    <cellStyle name="Normal 149 5 3" xfId="2943"/>
    <cellStyle name="Normal 149 5 3 2" xfId="2944"/>
    <cellStyle name="Normal 149 6" xfId="2945"/>
    <cellStyle name="Normal 149 6 2" xfId="2946"/>
    <cellStyle name="Normal 15" xfId="2947"/>
    <cellStyle name="Normal 15 2" xfId="2948"/>
    <cellStyle name="Normal 150" xfId="2949"/>
    <cellStyle name="Normal 150 2" xfId="2950"/>
    <cellStyle name="Normal 150 2 2" xfId="2951"/>
    <cellStyle name="Normal 150 3" xfId="2952"/>
    <cellStyle name="Normal 150 4" xfId="2953"/>
    <cellStyle name="Normal 150 4 2" xfId="2954"/>
    <cellStyle name="Normal 150 5" xfId="2955"/>
    <cellStyle name="Normal 151" xfId="2956"/>
    <cellStyle name="Normal 151 2" xfId="2957"/>
    <cellStyle name="Normal 151 2 2" xfId="2958"/>
    <cellStyle name="Normal 151 3" xfId="2959"/>
    <cellStyle name="Normal 151 3 2" xfId="2960"/>
    <cellStyle name="Normal 151 4" xfId="2961"/>
    <cellStyle name="Normal 152" xfId="2962"/>
    <cellStyle name="Normal 152 2" xfId="2963"/>
    <cellStyle name="Normal 153" xfId="2964"/>
    <cellStyle name="Normal 153 2" xfId="2965"/>
    <cellStyle name="Normal 154" xfId="2966"/>
    <cellStyle name="Normal 155" xfId="2967"/>
    <cellStyle name="Normal 155 2" xfId="2968"/>
    <cellStyle name="Normal 155 2 2" xfId="2969"/>
    <cellStyle name="Normal 155 3" xfId="2970"/>
    <cellStyle name="Normal 155 3 2" xfId="2971"/>
    <cellStyle name="Normal 155 4" xfId="2972"/>
    <cellStyle name="Normal 155 4 2" xfId="2973"/>
    <cellStyle name="Normal 156" xfId="2974"/>
    <cellStyle name="Normal 156 2" xfId="2975"/>
    <cellStyle name="Normal 157" xfId="2976"/>
    <cellStyle name="Normal 157 2" xfId="2977"/>
    <cellStyle name="Normal 158" xfId="2978"/>
    <cellStyle name="Normal 158 2" xfId="2979"/>
    <cellStyle name="Normal 159" xfId="2980"/>
    <cellStyle name="Normal 159 2" xfId="2981"/>
    <cellStyle name="Normal 159 3" xfId="2982"/>
    <cellStyle name="Normal 16" xfId="2983"/>
    <cellStyle name="Normal 16 2" xfId="2984"/>
    <cellStyle name="Normal 160" xfId="2985"/>
    <cellStyle name="Normal 160 2" xfId="2986"/>
    <cellStyle name="Normal 161" xfId="2987"/>
    <cellStyle name="Normal 161 2" xfId="2988"/>
    <cellStyle name="Normal 162" xfId="2989"/>
    <cellStyle name="Normal 162 2" xfId="2990"/>
    <cellStyle name="Normal 163" xfId="2991"/>
    <cellStyle name="Normal 163 2" xfId="2992"/>
    <cellStyle name="Normal 164" xfId="2993"/>
    <cellStyle name="Normal 164 2" xfId="2994"/>
    <cellStyle name="Normal 165" xfId="2995"/>
    <cellStyle name="Normal 165 2" xfId="2996"/>
    <cellStyle name="Normal 166" xfId="2997"/>
    <cellStyle name="Normal 166 2" xfId="2998"/>
    <cellStyle name="Normal 167" xfId="2999"/>
    <cellStyle name="Normal 167 2" xfId="3000"/>
    <cellStyle name="Normal 168" xfId="3001"/>
    <cellStyle name="Normal 168 2" xfId="3002"/>
    <cellStyle name="Normal 169" xfId="3003"/>
    <cellStyle name="Normal 169 2" xfId="3004"/>
    <cellStyle name="Normal 17" xfId="3005"/>
    <cellStyle name="Normal 17 2" xfId="3006"/>
    <cellStyle name="Normal 170" xfId="3007"/>
    <cellStyle name="Normal 170 2" xfId="3008"/>
    <cellStyle name="Normal 171" xfId="3009"/>
    <cellStyle name="Normal 171 2" xfId="3010"/>
    <cellStyle name="Normal 172" xfId="3011"/>
    <cellStyle name="Normal 172 2" xfId="3012"/>
    <cellStyle name="Normal 173" xfId="3013"/>
    <cellStyle name="Normal 173 2" xfId="3014"/>
    <cellStyle name="Normal 174" xfId="3015"/>
    <cellStyle name="Normal 174 2" xfId="3016"/>
    <cellStyle name="Normal 175" xfId="3017"/>
    <cellStyle name="Normal 175 2" xfId="3018"/>
    <cellStyle name="Normal 176" xfId="3019"/>
    <cellStyle name="Normal 176 2" xfId="3020"/>
    <cellStyle name="Normal 177" xfId="3021"/>
    <cellStyle name="Normal 177 2" xfId="3022"/>
    <cellStyle name="Normal 178" xfId="3023"/>
    <cellStyle name="Normal 178 2" xfId="3024"/>
    <cellStyle name="Normal 179" xfId="3025"/>
    <cellStyle name="Normal 179 2" xfId="3026"/>
    <cellStyle name="Normal 18" xfId="3027"/>
    <cellStyle name="Normal 18 2" xfId="3028"/>
    <cellStyle name="Normal 180" xfId="3029"/>
    <cellStyle name="Normal 180 2" xfId="3030"/>
    <cellStyle name="Normal 181" xfId="3031"/>
    <cellStyle name="Normal 181 2" xfId="3032"/>
    <cellStyle name="Normal 182" xfId="3033"/>
    <cellStyle name="Normal 182 2" xfId="3034"/>
    <cellStyle name="Normal 183" xfId="3035"/>
    <cellStyle name="Normal 183 2" xfId="3036"/>
    <cellStyle name="Normal 184" xfId="3037"/>
    <cellStyle name="Normal 184 2" xfId="3038"/>
    <cellStyle name="Normal 185" xfId="3039"/>
    <cellStyle name="Normal 185 2" xfId="3040"/>
    <cellStyle name="Normal 186" xfId="3041"/>
    <cellStyle name="Normal 186 2" xfId="3042"/>
    <cellStyle name="Normal 187" xfId="3043"/>
    <cellStyle name="Normal 187 2" xfId="3044"/>
    <cellStyle name="Normal 188" xfId="3045"/>
    <cellStyle name="Normal 188 2" xfId="3046"/>
    <cellStyle name="Normal 189" xfId="3047"/>
    <cellStyle name="Normal 189 2" xfId="3048"/>
    <cellStyle name="Normal 19" xfId="3049"/>
    <cellStyle name="Normal 19 2" xfId="3050"/>
    <cellStyle name="Normal 190" xfId="3051"/>
    <cellStyle name="Normal 190 2" xfId="3052"/>
    <cellStyle name="Normal 191" xfId="3053"/>
    <cellStyle name="Normal 191 2" xfId="3054"/>
    <cellStyle name="Normal 192" xfId="3055"/>
    <cellStyle name="Normal 192 2" xfId="3056"/>
    <cellStyle name="Normal 193" xfId="3057"/>
    <cellStyle name="Normal 193 2" xfId="3058"/>
    <cellStyle name="Normal 194" xfId="3059"/>
    <cellStyle name="Normal 194 2" xfId="3060"/>
    <cellStyle name="Normal 195" xfId="3061"/>
    <cellStyle name="Normal 195 2" xfId="3062"/>
    <cellStyle name="Normal 196" xfId="3063"/>
    <cellStyle name="Normal 196 2" xfId="3064"/>
    <cellStyle name="Normal 197" xfId="3065"/>
    <cellStyle name="Normal 197 2" xfId="3066"/>
    <cellStyle name="Normal 198" xfId="3067"/>
    <cellStyle name="Normal 198 2" xfId="3068"/>
    <cellStyle name="Normal 199" xfId="3069"/>
    <cellStyle name="Normal 199 2" xfId="3070"/>
    <cellStyle name="Normal 2" xfId="3071"/>
    <cellStyle name="Normal 2 10" xfId="3072"/>
    <cellStyle name="Normal 2 10 2" xfId="3073"/>
    <cellStyle name="Normal 2 10 2 2" xfId="3074"/>
    <cellStyle name="Normal 2 10 3" xfId="3075"/>
    <cellStyle name="Normal 2 11" xfId="3076"/>
    <cellStyle name="Normal 2 11 2" xfId="3077"/>
    <cellStyle name="Normal 2 11 2 2" xfId="3078"/>
    <cellStyle name="Normal 2 11 3" xfId="3079"/>
    <cellStyle name="Normal 2 12" xfId="3080"/>
    <cellStyle name="Normal 2 13" xfId="3081"/>
    <cellStyle name="Normal 2 14" xfId="3082"/>
    <cellStyle name="Normal 2 14 2" xfId="3083"/>
    <cellStyle name="Normal 2 14 3" xfId="3084"/>
    <cellStyle name="Normal 2 14 4" xfId="3085"/>
    <cellStyle name="Normal 2 15" xfId="3086"/>
    <cellStyle name="Normal 2 16" xfId="3087"/>
    <cellStyle name="Normal 2 2" xfId="3088"/>
    <cellStyle name="Normal 2 2 2" xfId="3089"/>
    <cellStyle name="Normal 2 2 2 2" xfId="3090"/>
    <cellStyle name="Normal 2 2 2 2 2" xfId="3091"/>
    <cellStyle name="Normal 2 2 2 3" xfId="3092"/>
    <cellStyle name="Normal 2 2 3" xfId="3093"/>
    <cellStyle name="Normal 2 2 4" xfId="3094"/>
    <cellStyle name="Normal 2 2 4 2" xfId="3095"/>
    <cellStyle name="Normal 2 2 5" xfId="3096"/>
    <cellStyle name="Normal 2 2 5 2" xfId="3097"/>
    <cellStyle name="Normal 2 2 6" xfId="3098"/>
    <cellStyle name="Normal 2 2 6 2" xfId="3099"/>
    <cellStyle name="Normal 2 2 6 3" xfId="3100"/>
    <cellStyle name="Normal 2 3" xfId="3101"/>
    <cellStyle name="Normal 2 3 2" xfId="3102"/>
    <cellStyle name="Normal 2 3 2 2" xfId="3103"/>
    <cellStyle name="Normal 2 3 2 2 2" xfId="3104"/>
    <cellStyle name="Normal 2 3 2 3" xfId="3105"/>
    <cellStyle name="Normal 2 3 2 4" xfId="3106"/>
    <cellStyle name="Normal 2 3 2 5" xfId="3107"/>
    <cellStyle name="Normal 2 3 3" xfId="3108"/>
    <cellStyle name="Normal 2 3 3 2" xfId="3109"/>
    <cellStyle name="Normal 2 3 3 3" xfId="3110"/>
    <cellStyle name="Normal 2 3 3 3 2" xfId="3111"/>
    <cellStyle name="Normal 2 3 3 4" xfId="3112"/>
    <cellStyle name="Normal 2 3 3 4 2" xfId="3113"/>
    <cellStyle name="Normal 2 3 3 5" xfId="3114"/>
    <cellStyle name="Normal 2 3 4" xfId="3115"/>
    <cellStyle name="Normal 2 3 4 2" xfId="3116"/>
    <cellStyle name="Normal 2 3 5" xfId="3117"/>
    <cellStyle name="Normal 2 3 6" xfId="3118"/>
    <cellStyle name="Normal 2 3 6 2" xfId="3119"/>
    <cellStyle name="Normal 2 3 6 3" xfId="3120"/>
    <cellStyle name="Normal 2 3 7" xfId="3121"/>
    <cellStyle name="Normal 2 4" xfId="3122"/>
    <cellStyle name="Normal 2 4 2" xfId="3123"/>
    <cellStyle name="Normal 2 4 2 2" xfId="3124"/>
    <cellStyle name="Normal 2 4 3" xfId="3125"/>
    <cellStyle name="Normal 2 4 3 2" xfId="3126"/>
    <cellStyle name="Normal 2 4 4" xfId="3127"/>
    <cellStyle name="Normal 2 4 4 2" xfId="3128"/>
    <cellStyle name="Normal 2 4 4 3" xfId="3129"/>
    <cellStyle name="Normal 2 5" xfId="3130"/>
    <cellStyle name="Normal 2 5 2" xfId="3131"/>
    <cellStyle name="Normal 2 5 2 2" xfId="3132"/>
    <cellStyle name="Normal 2 5 3" xfId="3133"/>
    <cellStyle name="Normal 2 5 4" xfId="3134"/>
    <cellStyle name="Normal 2 6" xfId="3135"/>
    <cellStyle name="Normal 2 6 2" xfId="3136"/>
    <cellStyle name="Normal 2 6 3" xfId="3137"/>
    <cellStyle name="Normal 2 6 3 2" xfId="3138"/>
    <cellStyle name="Normal 2 6 4" xfId="3139"/>
    <cellStyle name="Normal 2 6 4 2" xfId="3140"/>
    <cellStyle name="Normal 2 6 5" xfId="3141"/>
    <cellStyle name="Normal 2 7" xfId="3142"/>
    <cellStyle name="Normal 2 7 2" xfId="3143"/>
    <cellStyle name="Normal 2 7 3" xfId="3144"/>
    <cellStyle name="Normal 2 8" xfId="3145"/>
    <cellStyle name="Normal 2 8 2" xfId="3146"/>
    <cellStyle name="Normal 2 8 3" xfId="3147"/>
    <cellStyle name="Normal 2 9" xfId="3148"/>
    <cellStyle name="Normal 2_DAVIS _EOPS_Instructions_Form PT" xfId="3149"/>
    <cellStyle name="Normal 20" xfId="3150"/>
    <cellStyle name="Normal 20 2" xfId="3151"/>
    <cellStyle name="Normal 200" xfId="3152"/>
    <cellStyle name="Normal 200 2" xfId="3153"/>
    <cellStyle name="Normal 201" xfId="3154"/>
    <cellStyle name="Normal 201 2" xfId="3155"/>
    <cellStyle name="Normal 202" xfId="3156"/>
    <cellStyle name="Normal 202 2" xfId="3157"/>
    <cellStyle name="Normal 203" xfId="3158"/>
    <cellStyle name="Normal 203 2" xfId="3159"/>
    <cellStyle name="Normal 204" xfId="3160"/>
    <cellStyle name="Normal 204 2" xfId="3161"/>
    <cellStyle name="Normal 205" xfId="3162"/>
    <cellStyle name="Normal 205 2" xfId="3163"/>
    <cellStyle name="Normal 206" xfId="3164"/>
    <cellStyle name="Normal 206 2" xfId="3165"/>
    <cellStyle name="Normal 207" xfId="3166"/>
    <cellStyle name="Normal 207 2" xfId="3167"/>
    <cellStyle name="Normal 208" xfId="3168"/>
    <cellStyle name="Normal 208 2" xfId="3169"/>
    <cellStyle name="Normal 209" xfId="3170"/>
    <cellStyle name="Normal 209 2" xfId="3171"/>
    <cellStyle name="Normal 21" xfId="3172"/>
    <cellStyle name="Normal 21 2" xfId="3173"/>
    <cellStyle name="Normal 210" xfId="3174"/>
    <cellStyle name="Normal 210 2" xfId="3175"/>
    <cellStyle name="Normal 211" xfId="3176"/>
    <cellStyle name="Normal 211 2" xfId="3177"/>
    <cellStyle name="Normal 212" xfId="3178"/>
    <cellStyle name="Normal 212 2" xfId="3179"/>
    <cellStyle name="Normal 213" xfId="3180"/>
    <cellStyle name="Normal 214" xfId="3181"/>
    <cellStyle name="Normal 215" xfId="3182"/>
    <cellStyle name="Normal 215 2" xfId="3183"/>
    <cellStyle name="Normal 215 2 2" xfId="3184"/>
    <cellStyle name="Normal 215 3" xfId="3185"/>
    <cellStyle name="Normal 215 3 2" xfId="3186"/>
    <cellStyle name="Normal 216" xfId="3187"/>
    <cellStyle name="Normal 216 2" xfId="3188"/>
    <cellStyle name="Normal 216 2 2" xfId="3189"/>
    <cellStyle name="Normal 216 3" xfId="3190"/>
    <cellStyle name="Normal 216 3 2" xfId="3191"/>
    <cellStyle name="Normal 217" xfId="3192"/>
    <cellStyle name="Normal 217 2" xfId="3193"/>
    <cellStyle name="Normal 217 2 2" xfId="3194"/>
    <cellStyle name="Normal 217 3" xfId="3195"/>
    <cellStyle name="Normal 217 3 2" xfId="3196"/>
    <cellStyle name="Normal 218" xfId="3197"/>
    <cellStyle name="Normal 218 2" xfId="3198"/>
    <cellStyle name="Normal 218 2 2" xfId="3199"/>
    <cellStyle name="Normal 218 3" xfId="3200"/>
    <cellStyle name="Normal 218 3 2" xfId="3201"/>
    <cellStyle name="Normal 219" xfId="3202"/>
    <cellStyle name="Normal 219 2" xfId="3203"/>
    <cellStyle name="Normal 219 2 2" xfId="3204"/>
    <cellStyle name="Normal 219 3" xfId="3205"/>
    <cellStyle name="Normal 219 3 2" xfId="3206"/>
    <cellStyle name="Normal 22" xfId="3207"/>
    <cellStyle name="Normal 22 2" xfId="3208"/>
    <cellStyle name="Normal 220" xfId="3209"/>
    <cellStyle name="Normal 220 2" xfId="3210"/>
    <cellStyle name="Normal 220 2 2" xfId="3211"/>
    <cellStyle name="Normal 220 3" xfId="3212"/>
    <cellStyle name="Normal 220 3 2" xfId="3213"/>
    <cellStyle name="Normal 221" xfId="3214"/>
    <cellStyle name="Normal 221 2" xfId="3215"/>
    <cellStyle name="Normal 221 2 2" xfId="3216"/>
    <cellStyle name="Normal 221 3" xfId="3217"/>
    <cellStyle name="Normal 221 3 2" xfId="3218"/>
    <cellStyle name="Normal 222" xfId="3219"/>
    <cellStyle name="Normal 222 2" xfId="3220"/>
    <cellStyle name="Normal 222 2 2" xfId="3221"/>
    <cellStyle name="Normal 222 3" xfId="3222"/>
    <cellStyle name="Normal 222 3 2" xfId="3223"/>
    <cellStyle name="Normal 223" xfId="3224"/>
    <cellStyle name="Normal 223 2" xfId="3225"/>
    <cellStyle name="Normal 223 2 2" xfId="3226"/>
    <cellStyle name="Normal 223 3" xfId="3227"/>
    <cellStyle name="Normal 223 3 2" xfId="3228"/>
    <cellStyle name="Normal 224" xfId="3229"/>
    <cellStyle name="Normal 224 2" xfId="3230"/>
    <cellStyle name="Normal 224 2 2" xfId="3231"/>
    <cellStyle name="Normal 224 3" xfId="3232"/>
    <cellStyle name="Normal 224 3 2" xfId="3233"/>
    <cellStyle name="Normal 225" xfId="3234"/>
    <cellStyle name="Normal 225 2" xfId="3235"/>
    <cellStyle name="Normal 225 2 2" xfId="3236"/>
    <cellStyle name="Normal 225 3" xfId="3237"/>
    <cellStyle name="Normal 225 3 2" xfId="3238"/>
    <cellStyle name="Normal 226" xfId="3239"/>
    <cellStyle name="Normal 226 2" xfId="3240"/>
    <cellStyle name="Normal 226 2 2" xfId="3241"/>
    <cellStyle name="Normal 226 3" xfId="3242"/>
    <cellStyle name="Normal 226 3 2" xfId="3243"/>
    <cellStyle name="Normal 227" xfId="3244"/>
    <cellStyle name="Normal 227 2" xfId="3245"/>
    <cellStyle name="Normal 227 2 2" xfId="3246"/>
    <cellStyle name="Normal 227 3" xfId="3247"/>
    <cellStyle name="Normal 227 3 2" xfId="3248"/>
    <cellStyle name="Normal 228" xfId="3249"/>
    <cellStyle name="Normal 228 2" xfId="3250"/>
    <cellStyle name="Normal 228 2 2" xfId="3251"/>
    <cellStyle name="Normal 228 3" xfId="3252"/>
    <cellStyle name="Normal 228 3 2" xfId="3253"/>
    <cellStyle name="Normal 229" xfId="3254"/>
    <cellStyle name="Normal 229 2" xfId="3255"/>
    <cellStyle name="Normal 229 2 2" xfId="3256"/>
    <cellStyle name="Normal 229 3" xfId="3257"/>
    <cellStyle name="Normal 229 3 2" xfId="3258"/>
    <cellStyle name="Normal 23" xfId="3259"/>
    <cellStyle name="Normal 23 2" xfId="3260"/>
    <cellStyle name="Normal 230" xfId="3261"/>
    <cellStyle name="Normal 230 2" xfId="3262"/>
    <cellStyle name="Normal 230 2 2" xfId="3263"/>
    <cellStyle name="Normal 230 3" xfId="3264"/>
    <cellStyle name="Normal 230 3 2" xfId="3265"/>
    <cellStyle name="Normal 231" xfId="3266"/>
    <cellStyle name="Normal 231 2" xfId="3267"/>
    <cellStyle name="Normal 231 2 2" xfId="3268"/>
    <cellStyle name="Normal 231 3" xfId="3269"/>
    <cellStyle name="Normal 231 3 2" xfId="3270"/>
    <cellStyle name="Normal 232" xfId="3271"/>
    <cellStyle name="Normal 232 2" xfId="3272"/>
    <cellStyle name="Normal 232 2 2" xfId="3273"/>
    <cellStyle name="Normal 232 3" xfId="3274"/>
    <cellStyle name="Normal 232 3 2" xfId="3275"/>
    <cellStyle name="Normal 233" xfId="3276"/>
    <cellStyle name="Normal 233 2" xfId="3277"/>
    <cellStyle name="Normal 233 2 2" xfId="3278"/>
    <cellStyle name="Normal 233 3" xfId="3279"/>
    <cellStyle name="Normal 233 3 2" xfId="3280"/>
    <cellStyle name="Normal 234" xfId="3281"/>
    <cellStyle name="Normal 234 2" xfId="3282"/>
    <cellStyle name="Normal 235" xfId="3283"/>
    <cellStyle name="Normal 235 2" xfId="3284"/>
    <cellStyle name="Normal 236" xfId="3285"/>
    <cellStyle name="Normal 236 2" xfId="3286"/>
    <cellStyle name="Normal 237" xfId="3287"/>
    <cellStyle name="Normal 237 2" xfId="3288"/>
    <cellStyle name="Normal 238" xfId="3289"/>
    <cellStyle name="Normal 238 2" xfId="3290"/>
    <cellStyle name="Normal 239" xfId="3291"/>
    <cellStyle name="Normal 239 2" xfId="3292"/>
    <cellStyle name="Normal 24" xfId="3293"/>
    <cellStyle name="Normal 24 2" xfId="3294"/>
    <cellStyle name="Normal 240" xfId="3295"/>
    <cellStyle name="Normal 240 2" xfId="3296"/>
    <cellStyle name="Normal 241" xfId="3297"/>
    <cellStyle name="Normal 241 2" xfId="3298"/>
    <cellStyle name="Normal 242" xfId="3299"/>
    <cellStyle name="Normal 242 2" xfId="3300"/>
    <cellStyle name="Normal 243" xfId="3301"/>
    <cellStyle name="Normal 243 2" xfId="3302"/>
    <cellStyle name="Normal 244" xfId="3303"/>
    <cellStyle name="Normal 244 2" xfId="3304"/>
    <cellStyle name="Normal 245" xfId="3305"/>
    <cellStyle name="Normal 245 2" xfId="3306"/>
    <cellStyle name="Normal 246" xfId="3307"/>
    <cellStyle name="Normal 246 2" xfId="3308"/>
    <cellStyle name="Normal 247" xfId="3309"/>
    <cellStyle name="Normal 247 2" xfId="3310"/>
    <cellStyle name="Normal 248" xfId="3311"/>
    <cellStyle name="Normal 248 2" xfId="3312"/>
    <cellStyle name="Normal 249" xfId="3313"/>
    <cellStyle name="Normal 249 2" xfId="3314"/>
    <cellStyle name="Normal 25" xfId="3315"/>
    <cellStyle name="Normal 250" xfId="3316"/>
    <cellStyle name="Normal 250 2" xfId="3317"/>
    <cellStyle name="Normal 251" xfId="3318"/>
    <cellStyle name="Normal 251 2" xfId="3319"/>
    <cellStyle name="Normal 252" xfId="3320"/>
    <cellStyle name="Normal 252 2" xfId="3321"/>
    <cellStyle name="Normal 252 3" xfId="3322"/>
    <cellStyle name="Normal 252 4" xfId="3323"/>
    <cellStyle name="Normal 252 5" xfId="3324"/>
    <cellStyle name="Normal 252 6" xfId="3325"/>
    <cellStyle name="Normal 253" xfId="3326"/>
    <cellStyle name="Normal 253 2" xfId="3327"/>
    <cellStyle name="Normal 253 3" xfId="3328"/>
    <cellStyle name="Normal 253 4" xfId="3329"/>
    <cellStyle name="Normal 254" xfId="3330"/>
    <cellStyle name="Normal 254 2" xfId="3331"/>
    <cellStyle name="Normal 254 3" xfId="3332"/>
    <cellStyle name="Normal 255" xfId="3333"/>
    <cellStyle name="Normal 255 2" xfId="3334"/>
    <cellStyle name="Normal 255 3" xfId="3335"/>
    <cellStyle name="Normal 256" xfId="3336"/>
    <cellStyle name="Normal 256 2" xfId="3337"/>
    <cellStyle name="Normal 256 3" xfId="3338"/>
    <cellStyle name="Normal 257" xfId="3339"/>
    <cellStyle name="Normal 257 2" xfId="3340"/>
    <cellStyle name="Normal 257 3" xfId="3341"/>
    <cellStyle name="Normal 258" xfId="3342"/>
    <cellStyle name="Normal 258 2" xfId="3343"/>
    <cellStyle name="Normal 258 3" xfId="3344"/>
    <cellStyle name="Normal 259" xfId="3345"/>
    <cellStyle name="Normal 259 2" xfId="3346"/>
    <cellStyle name="Normal 259 3" xfId="3347"/>
    <cellStyle name="Normal 26" xfId="3348"/>
    <cellStyle name="Normal 260" xfId="3349"/>
    <cellStyle name="Normal 260 2" xfId="3350"/>
    <cellStyle name="Normal 260 3" xfId="3351"/>
    <cellStyle name="Normal 261" xfId="3352"/>
    <cellStyle name="Normal 261 2" xfId="3353"/>
    <cellStyle name="Normal 261 3" xfId="3354"/>
    <cellStyle name="Normal 262" xfId="3355"/>
    <cellStyle name="Normal 262 2" xfId="3356"/>
    <cellStyle name="Normal 262 3" xfId="3357"/>
    <cellStyle name="Normal 262 3 2" xfId="3358"/>
    <cellStyle name="Normal 263" xfId="3359"/>
    <cellStyle name="Normal 263 2" xfId="3360"/>
    <cellStyle name="Normal 263 3" xfId="3361"/>
    <cellStyle name="Normal 263 3 2" xfId="3362"/>
    <cellStyle name="Normal 264" xfId="3363"/>
    <cellStyle name="Normal 264 2" xfId="3364"/>
    <cellStyle name="Normal 264 3" xfId="3365"/>
    <cellStyle name="Normal 264 3 2" xfId="3366"/>
    <cellStyle name="Normal 265" xfId="3367"/>
    <cellStyle name="Normal 265 2" xfId="3368"/>
    <cellStyle name="Normal 265 3" xfId="3369"/>
    <cellStyle name="Normal 265 3 2" xfId="3370"/>
    <cellStyle name="Normal 266" xfId="3371"/>
    <cellStyle name="Normal 267" xfId="3372"/>
    <cellStyle name="Normal 268" xfId="3373"/>
    <cellStyle name="Normal 269" xfId="3374"/>
    <cellStyle name="Normal 27" xfId="3375"/>
    <cellStyle name="Normal 270" xfId="3376"/>
    <cellStyle name="Normal 271" xfId="3377"/>
    <cellStyle name="Normal 272" xfId="3378"/>
    <cellStyle name="Normal 273" xfId="3379"/>
    <cellStyle name="Normal 274" xfId="3380"/>
    <cellStyle name="Normal 275" xfId="3381"/>
    <cellStyle name="Normal 276" xfId="3382"/>
    <cellStyle name="Normal 277" xfId="3383"/>
    <cellStyle name="Normal 278" xfId="3384"/>
    <cellStyle name="Normal 279" xfId="3385"/>
    <cellStyle name="Normal 28" xfId="3386"/>
    <cellStyle name="Normal 280" xfId="3387"/>
    <cellStyle name="Normal 281" xfId="3388"/>
    <cellStyle name="Normal 282" xfId="3389"/>
    <cellStyle name="Normal 283" xfId="3390"/>
    <cellStyle name="Normal 284" xfId="3391"/>
    <cellStyle name="Normal 285" xfId="3392"/>
    <cellStyle name="Normal 286" xfId="3393"/>
    <cellStyle name="Normal 287" xfId="3394"/>
    <cellStyle name="Normal 288" xfId="3395"/>
    <cellStyle name="Normal 289" xfId="3396"/>
    <cellStyle name="Normal 29" xfId="3397"/>
    <cellStyle name="Normal 290" xfId="3398"/>
    <cellStyle name="Normal 291" xfId="3399"/>
    <cellStyle name="Normal 292" xfId="3400"/>
    <cellStyle name="Normal 293" xfId="3401"/>
    <cellStyle name="Normal 293 2" xfId="3402"/>
    <cellStyle name="Normal 293 2 2" xfId="3403"/>
    <cellStyle name="Normal 293 3" xfId="3404"/>
    <cellStyle name="Normal 294" xfId="3405"/>
    <cellStyle name="Normal 294 2" xfId="3406"/>
    <cellStyle name="Normal 3" xfId="3407"/>
    <cellStyle name="Normal 3 10" xfId="3408"/>
    <cellStyle name="Normal 3 11" xfId="3409"/>
    <cellStyle name="Normal 3 11 2" xfId="3410"/>
    <cellStyle name="Normal 3 11 3" xfId="3411"/>
    <cellStyle name="Normal 3 11 4" xfId="3412"/>
    <cellStyle name="Normal 3 11 4 2" xfId="3413"/>
    <cellStyle name="Normal 3 12" xfId="3414"/>
    <cellStyle name="Normal 3 12 2" xfId="3415"/>
    <cellStyle name="Normal 3 12 3" xfId="3416"/>
    <cellStyle name="Normal 3 13" xfId="3417"/>
    <cellStyle name="Normal 3 14" xfId="3418"/>
    <cellStyle name="Normal 3 14 2" xfId="3419"/>
    <cellStyle name="Normal 3 2" xfId="3420"/>
    <cellStyle name="Normal 3 2 2" xfId="3421"/>
    <cellStyle name="Normal 3 2 2 2" xfId="3422"/>
    <cellStyle name="Normal 3 2 2 2 2" xfId="3423"/>
    <cellStyle name="Normal 3 2 2 2 2 2" xfId="3424"/>
    <cellStyle name="Normal 3 2 2 2 3" xfId="3425"/>
    <cellStyle name="Normal 3 2 2 2 4" xfId="3426"/>
    <cellStyle name="Normal 3 2 2 3" xfId="3427"/>
    <cellStyle name="Normal 3 2 2 3 2" xfId="3428"/>
    <cellStyle name="Normal 3 2 2 3 3" xfId="3429"/>
    <cellStyle name="Normal 3 2 2 4" xfId="3430"/>
    <cellStyle name="Normal 3 2 2 4 2" xfId="3431"/>
    <cellStyle name="Normal 3 2 2 5" xfId="3432"/>
    <cellStyle name="Normal 3 2 2 6" xfId="3433"/>
    <cellStyle name="Normal 3 2 3" xfId="3434"/>
    <cellStyle name="Normal 3 2 3 2" xfId="3435"/>
    <cellStyle name="Normal 3 2 3 3" xfId="3436"/>
    <cellStyle name="Normal 3 2 3 3 2" xfId="3437"/>
    <cellStyle name="Normal 3 2 4" xfId="3438"/>
    <cellStyle name="Normal 3 2 4 2" xfId="3439"/>
    <cellStyle name="Normal 3 2 5" xfId="3440"/>
    <cellStyle name="Normal 3 2 6" xfId="3441"/>
    <cellStyle name="Normal 3 3" xfId="3442"/>
    <cellStyle name="Normal 3 3 2" xfId="3443"/>
    <cellStyle name="Normal 3 3 2 2" xfId="3444"/>
    <cellStyle name="Normal 3 3 2 3" xfId="3445"/>
    <cellStyle name="Normal 3 3 2 3 2" xfId="3446"/>
    <cellStyle name="Normal 3 3 3" xfId="3447"/>
    <cellStyle name="Normal 3 3 3 2" xfId="3448"/>
    <cellStyle name="Normal 3 4" xfId="3449"/>
    <cellStyle name="Normal 3 4 2" xfId="3450"/>
    <cellStyle name="Normal 3 4 2 2" xfId="3451"/>
    <cellStyle name="Normal 3 4 3" xfId="3452"/>
    <cellStyle name="Normal 3 4 3 2" xfId="3453"/>
    <cellStyle name="Normal 3 4 4" xfId="3454"/>
    <cellStyle name="Normal 3 5" xfId="3455"/>
    <cellStyle name="Normal 3 5 2" xfId="3456"/>
    <cellStyle name="Normal 3 6" xfId="3457"/>
    <cellStyle name="Normal 3 6 2" xfId="3458"/>
    <cellStyle name="Normal 3 6 2 2" xfId="3459"/>
    <cellStyle name="Normal 3 6 3" xfId="3460"/>
    <cellStyle name="Normal 3 6 3 2" xfId="3461"/>
    <cellStyle name="Normal 3 6 4" xfId="3462"/>
    <cellStyle name="Normal 3 6 4 2" xfId="3463"/>
    <cellStyle name="Normal 3 6 5" xfId="3464"/>
    <cellStyle name="Normal 3 6 6" xfId="3465"/>
    <cellStyle name="Normal 3 7" xfId="3466"/>
    <cellStyle name="Normal 3 7 2" xfId="3467"/>
    <cellStyle name="Normal 3 7 3" xfId="3468"/>
    <cellStyle name="Normal 3 7 3 2" xfId="3469"/>
    <cellStyle name="Normal 3 8" xfId="3470"/>
    <cellStyle name="Normal 3 9" xfId="3471"/>
    <cellStyle name="Normal 30" xfId="3472"/>
    <cellStyle name="Normal 31" xfId="3473"/>
    <cellStyle name="Normal 32" xfId="3474"/>
    <cellStyle name="Normal 33" xfId="3475"/>
    <cellStyle name="Normal 34" xfId="3476"/>
    <cellStyle name="Normal 35" xfId="3477"/>
    <cellStyle name="Normal 36" xfId="3478"/>
    <cellStyle name="Normal 37" xfId="3479"/>
    <cellStyle name="Normal 38" xfId="3480"/>
    <cellStyle name="Normal 39" xfId="3481"/>
    <cellStyle name="Normal 4" xfId="3482"/>
    <cellStyle name="Normal 4 10" xfId="3483"/>
    <cellStyle name="Normal 4 10 2" xfId="3484"/>
    <cellStyle name="Normal 4 10 3" xfId="3485"/>
    <cellStyle name="Normal 4 2" xfId="3486"/>
    <cellStyle name="Normal 4 2 2" xfId="3487"/>
    <cellStyle name="Normal 4 3" xfId="3488"/>
    <cellStyle name="Normal 4 3 2" xfId="3489"/>
    <cellStyle name="Normal 4 3 3" xfId="3490"/>
    <cellStyle name="Normal 4 4" xfId="3491"/>
    <cellStyle name="Normal 4 4 2" xfId="3492"/>
    <cellStyle name="Normal 4 4 2 2" xfId="3493"/>
    <cellStyle name="Normal 4 5" xfId="3494"/>
    <cellStyle name="Normal 4 5 2" xfId="3495"/>
    <cellStyle name="Normal 4 6" xfId="3496"/>
    <cellStyle name="Normal 4 6 2" xfId="3497"/>
    <cellStyle name="Normal 4 6 3" xfId="3498"/>
    <cellStyle name="Normal 4 7" xfId="3499"/>
    <cellStyle name="Normal 4 8" xfId="3500"/>
    <cellStyle name="Normal 4 8 2" xfId="3501"/>
    <cellStyle name="Normal 4 9" xfId="3502"/>
    <cellStyle name="Normal 40" xfId="3503"/>
    <cellStyle name="Normal 41" xfId="3504"/>
    <cellStyle name="Normal 42" xfId="3505"/>
    <cellStyle name="Normal 43" xfId="3506"/>
    <cellStyle name="Normal 44" xfId="3507"/>
    <cellStyle name="Normal 45" xfId="3508"/>
    <cellStyle name="Normal 46" xfId="3509"/>
    <cellStyle name="Normal 47" xfId="3510"/>
    <cellStyle name="Normal 48" xfId="3511"/>
    <cellStyle name="Normal 49" xfId="3512"/>
    <cellStyle name="Normal 5" xfId="3513"/>
    <cellStyle name="Normal 5 2" xfId="3514"/>
    <cellStyle name="Normal 5 2 2" xfId="3515"/>
    <cellStyle name="Normal 5 2 3" xfId="3516"/>
    <cellStyle name="Normal 5 3" xfId="3517"/>
    <cellStyle name="Normal 5 3 2" xfId="3518"/>
    <cellStyle name="Normal 5 4" xfId="3519"/>
    <cellStyle name="Normal 5 4 2" xfId="3520"/>
    <cellStyle name="Normal 5 4 2 2" xfId="3521"/>
    <cellStyle name="Normal 5 4 3" xfId="3522"/>
    <cellStyle name="Normal 5 4 4" xfId="3523"/>
    <cellStyle name="Normal 5 5" xfId="3524"/>
    <cellStyle name="Normal 5 5 2" xfId="3525"/>
    <cellStyle name="Normal 5 6" xfId="3526"/>
    <cellStyle name="Normal 5 6 2" xfId="3527"/>
    <cellStyle name="Normal 5 7" xfId="3528"/>
    <cellStyle name="Normal 5 7 2" xfId="3529"/>
    <cellStyle name="Normal 5 8" xfId="3530"/>
    <cellStyle name="Normal 50" xfId="3531"/>
    <cellStyle name="Normal 51" xfId="3532"/>
    <cellStyle name="Normal 52" xfId="3533"/>
    <cellStyle name="Normal 53" xfId="3534"/>
    <cellStyle name="Normal 54" xfId="3535"/>
    <cellStyle name="Normal 55" xfId="3536"/>
    <cellStyle name="Normal 56" xfId="3537"/>
    <cellStyle name="Normal 57" xfId="3538"/>
    <cellStyle name="Normal 58" xfId="3539"/>
    <cellStyle name="Normal 59" xfId="3540"/>
    <cellStyle name="Normal 6" xfId="3541"/>
    <cellStyle name="Normal 6 2" xfId="3542"/>
    <cellStyle name="Normal 6 2 2" xfId="3543"/>
    <cellStyle name="Normal 6 3" xfId="3544"/>
    <cellStyle name="Normal 6 3 2" xfId="3545"/>
    <cellStyle name="Normal 6 3 2 2" xfId="3546"/>
    <cellStyle name="Normal 6 4" xfId="3547"/>
    <cellStyle name="Normal 6 5" xfId="3548"/>
    <cellStyle name="Normal 6 5 2" xfId="3549"/>
    <cellStyle name="Normal 6 5 3" xfId="3550"/>
    <cellStyle name="Normal 60" xfId="3551"/>
    <cellStyle name="Normal 61" xfId="3552"/>
    <cellStyle name="Normal 62" xfId="3553"/>
    <cellStyle name="Normal 63" xfId="3554"/>
    <cellStyle name="Normal 64" xfId="3555"/>
    <cellStyle name="Normal 65" xfId="3556"/>
    <cellStyle name="Normal 66" xfId="3557"/>
    <cellStyle name="Normal 67" xfId="3558"/>
    <cellStyle name="Normal 68" xfId="3559"/>
    <cellStyle name="Normal 69" xfId="3560"/>
    <cellStyle name="Normal 7" xfId="3561"/>
    <cellStyle name="Normal 7 2" xfId="3562"/>
    <cellStyle name="Normal 7 2 2" xfId="3563"/>
    <cellStyle name="Normal 7 2 2 2" xfId="3564"/>
    <cellStyle name="Normal 7 2 3" xfId="3565"/>
    <cellStyle name="Normal 7 2 3 2" xfId="3566"/>
    <cellStyle name="Normal 7 2 4" xfId="3567"/>
    <cellStyle name="Normal 7 3" xfId="3568"/>
    <cellStyle name="Normal 7 4" xfId="3569"/>
    <cellStyle name="Normal 7 4 2" xfId="3570"/>
    <cellStyle name="Normal 7 4 3" xfId="3571"/>
    <cellStyle name="Normal 70" xfId="3572"/>
    <cellStyle name="Normal 71" xfId="3573"/>
    <cellStyle name="Normal 72" xfId="3574"/>
    <cellStyle name="Normal 73" xfId="3575"/>
    <cellStyle name="Normal 74" xfId="3576"/>
    <cellStyle name="Normal 75" xfId="3577"/>
    <cellStyle name="Normal 76" xfId="3578"/>
    <cellStyle name="Normal 77" xfId="3579"/>
    <cellStyle name="Normal 78" xfId="3580"/>
    <cellStyle name="Normal 79" xfId="3581"/>
    <cellStyle name="Normal 8" xfId="3582"/>
    <cellStyle name="Normal 8 2" xfId="3583"/>
    <cellStyle name="Normal 8 2 2" xfId="3584"/>
    <cellStyle name="Normal 8 3" xfId="3585"/>
    <cellStyle name="Normal 8 4" xfId="3586"/>
    <cellStyle name="Normal 8 5" xfId="3587"/>
    <cellStyle name="Normal 80" xfId="3588"/>
    <cellStyle name="Normal 81" xfId="3589"/>
    <cellStyle name="Normal 82" xfId="3590"/>
    <cellStyle name="Normal 83" xfId="3591"/>
    <cellStyle name="Normal 84" xfId="3592"/>
    <cellStyle name="Normal 85" xfId="3593"/>
    <cellStyle name="Normal 86" xfId="3594"/>
    <cellStyle name="Normal 87" xfId="3595"/>
    <cellStyle name="Normal 88" xfId="3596"/>
    <cellStyle name="Normal 89" xfId="3597"/>
    <cellStyle name="Normal 9" xfId="3598"/>
    <cellStyle name="Normal 9 2" xfId="3599"/>
    <cellStyle name="Normal 9 3" xfId="3600"/>
    <cellStyle name="Normal 9 3 2" xfId="3601"/>
    <cellStyle name="Normal 9 3 3" xfId="3602"/>
    <cellStyle name="Normal 90" xfId="3603"/>
    <cellStyle name="Normal 91" xfId="3604"/>
    <cellStyle name="Normal 92" xfId="3605"/>
    <cellStyle name="Normal 93" xfId="3606"/>
    <cellStyle name="Normal 94" xfId="3607"/>
    <cellStyle name="Normal 95" xfId="3608"/>
    <cellStyle name="Normal 96" xfId="3609"/>
    <cellStyle name="Normal 97" xfId="3610"/>
    <cellStyle name="Normal 98" xfId="3611"/>
    <cellStyle name="Normal 99" xfId="3612"/>
    <cellStyle name="Note" xfId="3613" builtinId="10" customBuiltin="1"/>
    <cellStyle name="Note 10" xfId="3614"/>
    <cellStyle name="Note 10 2" xfId="3615"/>
    <cellStyle name="Note 10 3" xfId="3616"/>
    <cellStyle name="Note 10 4" xfId="3617"/>
    <cellStyle name="Note 10 4 2" xfId="3618"/>
    <cellStyle name="Note 11" xfId="3619"/>
    <cellStyle name="Note 12" xfId="3620"/>
    <cellStyle name="Note 12 2" xfId="3621"/>
    <cellStyle name="Note 2" xfId="3622"/>
    <cellStyle name="Note 2 2" xfId="3623"/>
    <cellStyle name="Note 2 2 2" xfId="3624"/>
    <cellStyle name="Note 2 2 2 2" xfId="3625"/>
    <cellStyle name="Note 2 2 3" xfId="3626"/>
    <cellStyle name="Note 2 3" xfId="3627"/>
    <cellStyle name="Note 2 3 2" xfId="3628"/>
    <cellStyle name="Note 2 3 2 2" xfId="3629"/>
    <cellStyle name="Note 2 3 2 2 2" xfId="3630"/>
    <cellStyle name="Note 2 3 2 3" xfId="3631"/>
    <cellStyle name="Note 2 3 3" xfId="3632"/>
    <cellStyle name="Note 2 3 3 2" xfId="3633"/>
    <cellStyle name="Note 2 3 4" xfId="3634"/>
    <cellStyle name="Note 2 3 4 2" xfId="3635"/>
    <cellStyle name="Note 2 3 4 2 2" xfId="3636"/>
    <cellStyle name="Note 2 3 4 3" xfId="3637"/>
    <cellStyle name="Note 2 3 4 3 2" xfId="3638"/>
    <cellStyle name="Note 2 3 4 4" xfId="3639"/>
    <cellStyle name="Note 2 3 4 4 2" xfId="3640"/>
    <cellStyle name="Note 2 3 4 4 3" xfId="3641"/>
    <cellStyle name="Note 2 3 4 4 4" xfId="3642"/>
    <cellStyle name="Note 2 3 4 4 4 2" xfId="3643"/>
    <cellStyle name="Note 2 3 4 5" xfId="3644"/>
    <cellStyle name="Note 2 3 5" xfId="3645"/>
    <cellStyle name="Note 2 3 5 2" xfId="3646"/>
    <cellStyle name="Note 2 3 6" xfId="3647"/>
    <cellStyle name="Note 2 3 6 2" xfId="3648"/>
    <cellStyle name="Note 2 3 7" xfId="3649"/>
    <cellStyle name="Note 2 3 7 2" xfId="3650"/>
    <cellStyle name="Note 2 3 7 3" xfId="3651"/>
    <cellStyle name="Note 2 3 7 4" xfId="3652"/>
    <cellStyle name="Note 2 3 7 4 2" xfId="3653"/>
    <cellStyle name="Note 2 3 8" xfId="3654"/>
    <cellStyle name="Note 2 4" xfId="3655"/>
    <cellStyle name="Note 2 4 2" xfId="3656"/>
    <cellStyle name="Note 2 5" xfId="3657"/>
    <cellStyle name="Note 2 5 2" xfId="3658"/>
    <cellStyle name="Note 2 5 2 2" xfId="3659"/>
    <cellStyle name="Note 2 5 3" xfId="3660"/>
    <cellStyle name="Note 2 5 3 2" xfId="3661"/>
    <cellStyle name="Note 2 5 3 2 2" xfId="3662"/>
    <cellStyle name="Note 2 5 3 3" xfId="3663"/>
    <cellStyle name="Note 2 5 3 3 2" xfId="3664"/>
    <cellStyle name="Note 2 5 3 4" xfId="3665"/>
    <cellStyle name="Note 2 5 3 4 2" xfId="3666"/>
    <cellStyle name="Note 2 5 3 4 3" xfId="3667"/>
    <cellStyle name="Note 2 5 3 4 4" xfId="3668"/>
    <cellStyle name="Note 2 5 3 4 4 2" xfId="3669"/>
    <cellStyle name="Note 2 5 3 5" xfId="3670"/>
    <cellStyle name="Note 2 5 4" xfId="3671"/>
    <cellStyle name="Note 2 5 4 2" xfId="3672"/>
    <cellStyle name="Note 2 5 5" xfId="3673"/>
    <cellStyle name="Note 2 5 5 2" xfId="3674"/>
    <cellStyle name="Note 2 5 6" xfId="3675"/>
    <cellStyle name="Note 2 5 7" xfId="3676"/>
    <cellStyle name="Note 2 6" xfId="3677"/>
    <cellStyle name="Note 2 6 2" xfId="3678"/>
    <cellStyle name="Note 2 7" xfId="3679"/>
    <cellStyle name="Note 2 8" xfId="3680"/>
    <cellStyle name="Note 2 9" xfId="3681"/>
    <cellStyle name="Note 3" xfId="3682"/>
    <cellStyle name="Note 3 2" xfId="3683"/>
    <cellStyle name="Note 3 2 2" xfId="3684"/>
    <cellStyle name="Note 3 3" xfId="3685"/>
    <cellStyle name="Note 3 3 2" xfId="3686"/>
    <cellStyle name="Note 3 3 2 2" xfId="3687"/>
    <cellStyle name="Note 3 3 3" xfId="3688"/>
    <cellStyle name="Note 3 3 3 2" xfId="3689"/>
    <cellStyle name="Note 3 3 4" xfId="3690"/>
    <cellStyle name="Note 3 3 4 2" xfId="3691"/>
    <cellStyle name="Note 3 3 4 3" xfId="3692"/>
    <cellStyle name="Note 3 3 4 4" xfId="3693"/>
    <cellStyle name="Note 3 3 4 4 2" xfId="3694"/>
    <cellStyle name="Note 3 3 5" xfId="3695"/>
    <cellStyle name="Note 3 4" xfId="3696"/>
    <cellStyle name="Note 3 4 2" xfId="3697"/>
    <cellStyle name="Note 3 4 2 2" xfId="3698"/>
    <cellStyle name="Note 3 4 3" xfId="3699"/>
    <cellStyle name="Note 3 4 3 2" xfId="3700"/>
    <cellStyle name="Note 3 4 4" xfId="3701"/>
    <cellStyle name="Note 3 4 4 2" xfId="3702"/>
    <cellStyle name="Note 3 4 4 3" xfId="3703"/>
    <cellStyle name="Note 3 4 4 4" xfId="3704"/>
    <cellStyle name="Note 3 4 4 4 2" xfId="3705"/>
    <cellStyle name="Note 3 4 5" xfId="3706"/>
    <cellStyle name="Note 3 5" xfId="3707"/>
    <cellStyle name="Note 3 5 2" xfId="3708"/>
    <cellStyle name="Note 3 6" xfId="3709"/>
    <cellStyle name="Note 3 7" xfId="3710"/>
    <cellStyle name="Note 4" xfId="3711"/>
    <cellStyle name="Note 4 2" xfId="3712"/>
    <cellStyle name="Note 4 2 2" xfId="3713"/>
    <cellStyle name="Note 4 2 2 2" xfId="3714"/>
    <cellStyle name="Note 4 2 3" xfId="3715"/>
    <cellStyle name="Note 4 3" xfId="3716"/>
    <cellStyle name="Note 4 3 2" xfId="3717"/>
    <cellStyle name="Note 4 4" xfId="3718"/>
    <cellStyle name="Note 5" xfId="3719"/>
    <cellStyle name="Note 5 2" xfId="3720"/>
    <cellStyle name="Note 6" xfId="3721"/>
    <cellStyle name="Note 6 2" xfId="3722"/>
    <cellStyle name="Note 6 2 2" xfId="3723"/>
    <cellStyle name="Note 6 3" xfId="3724"/>
    <cellStyle name="Note 7" xfId="3725"/>
    <cellStyle name="Note 7 2" xfId="3726"/>
    <cellStyle name="Note 8" xfId="3727"/>
    <cellStyle name="Note 8 2" xfId="3728"/>
    <cellStyle name="Note 9" xfId="3729"/>
    <cellStyle name="Note 9 2" xfId="3730"/>
    <cellStyle name="number" xfId="3731"/>
    <cellStyle name="Output 2" xfId="3732"/>
    <cellStyle name="Percent 10" xfId="3733"/>
    <cellStyle name="Percent 10 2" xfId="3734"/>
    <cellStyle name="Percent 10 2 2" xfId="3735"/>
    <cellStyle name="Percent 10 3" xfId="3736"/>
    <cellStyle name="Percent 10 3 2" xfId="3737"/>
    <cellStyle name="Percent 10 4" xfId="3738"/>
    <cellStyle name="Percent 10 4 2" xfId="3739"/>
    <cellStyle name="Percent 10 4 3" xfId="3740"/>
    <cellStyle name="Percent 10 4 4" xfId="3741"/>
    <cellStyle name="Percent 10 4 4 2" xfId="3742"/>
    <cellStyle name="Percent 10 5" xfId="3743"/>
    <cellStyle name="Percent 11" xfId="3744"/>
    <cellStyle name="Percent 11 2" xfId="3745"/>
    <cellStyle name="Percent 11 2 2" xfId="3746"/>
    <cellStyle name="Percent 11 3" xfId="3747"/>
    <cellStyle name="Percent 11 3 2" xfId="3748"/>
    <cellStyle name="Percent 12" xfId="3749"/>
    <cellStyle name="Percent 12 2" xfId="3750"/>
    <cellStyle name="Percent 12 2 2" xfId="3751"/>
    <cellStyle name="Percent 12 3" xfId="3752"/>
    <cellStyle name="Percent 12 3 2" xfId="3753"/>
    <cellStyle name="Percent 12 3 2 2" xfId="3754"/>
    <cellStyle name="Percent 12 3 3" xfId="3755"/>
    <cellStyle name="Percent 12 4" xfId="3756"/>
    <cellStyle name="Percent 12 4 2" xfId="3757"/>
    <cellStyle name="Percent 13" xfId="3758"/>
    <cellStyle name="Percent 13 2" xfId="3759"/>
    <cellStyle name="Percent 13 2 2" xfId="3760"/>
    <cellStyle name="Percent 13 3" xfId="3761"/>
    <cellStyle name="Percent 13 3 2" xfId="3762"/>
    <cellStyle name="Percent 13 3 2 2" xfId="3763"/>
    <cellStyle name="Percent 13 3 3" xfId="3764"/>
    <cellStyle name="Percent 13 4" xfId="3765"/>
    <cellStyle name="Percent 13 4 2" xfId="3766"/>
    <cellStyle name="Percent 14" xfId="3767"/>
    <cellStyle name="Percent 14 2" xfId="3768"/>
    <cellStyle name="Percent 14 2 2" xfId="3769"/>
    <cellStyle name="Percent 14 3" xfId="3770"/>
    <cellStyle name="Percent 14 3 2" xfId="3771"/>
    <cellStyle name="Percent 2" xfId="3772"/>
    <cellStyle name="Percent 2 2" xfId="3773"/>
    <cellStyle name="Percent 2 2 2" xfId="3774"/>
    <cellStyle name="Percent 2 3" xfId="3775"/>
    <cellStyle name="Percent 2 3 2" xfId="3776"/>
    <cellStyle name="Percent 2 3 2 2" xfId="3777"/>
    <cellStyle name="Percent 2 3 2 2 2" xfId="3778"/>
    <cellStyle name="Percent 2 3 2 3" xfId="3779"/>
    <cellStyle name="Percent 2 3 3" xfId="3780"/>
    <cellStyle name="Percent 2 4" xfId="3781"/>
    <cellStyle name="Percent 2 4 2" xfId="3782"/>
    <cellStyle name="Percent 2 5" xfId="3783"/>
    <cellStyle name="Percent 2 5 2" xfId="3784"/>
    <cellStyle name="Percent 2 5 2 2" xfId="3785"/>
    <cellStyle name="Percent 2 5 3" xfId="3786"/>
    <cellStyle name="Percent 2 5 3 2" xfId="3787"/>
    <cellStyle name="Percent 2 5 3 2 2" xfId="3788"/>
    <cellStyle name="Percent 2 5 3 2 2 2" xfId="3789"/>
    <cellStyle name="Percent 2 5 3 2 3" xfId="3790"/>
    <cellStyle name="Percent 2 5 3 3" xfId="3791"/>
    <cellStyle name="Percent 2 5 3 3 2" xfId="3792"/>
    <cellStyle name="Percent 2 5 3 4" xfId="3793"/>
    <cellStyle name="Percent 2 5 4" xfId="3794"/>
    <cellStyle name="Percent 2 5 4 2" xfId="3795"/>
    <cellStyle name="Percent 2 5 5" xfId="3796"/>
    <cellStyle name="Percent 2 5 5 2" xfId="3797"/>
    <cellStyle name="Percent 2 5 5 2 2" xfId="3798"/>
    <cellStyle name="Percent 2 5 5 3" xfId="3799"/>
    <cellStyle name="Percent 2 5 6" xfId="3800"/>
    <cellStyle name="Percent 2 5 6 2" xfId="3801"/>
    <cellStyle name="Percent 2 5 6 3" xfId="3802"/>
    <cellStyle name="Percent 2 5 6 4" xfId="3803"/>
    <cellStyle name="Percent 2 5 6 4 2" xfId="3804"/>
    <cellStyle name="Percent 2 5 7" xfId="3805"/>
    <cellStyle name="Percent 2 6" xfId="3806"/>
    <cellStyle name="Percent 2 6 2" xfId="3807"/>
    <cellStyle name="Percent 2 7" xfId="3808"/>
    <cellStyle name="Percent 3" xfId="3809"/>
    <cellStyle name="Percent 3 2" xfId="3810"/>
    <cellStyle name="Percent 3 2 2" xfId="3811"/>
    <cellStyle name="Percent 3 2 2 2" xfId="3812"/>
    <cellStyle name="Percent 3 2 3" xfId="3813"/>
    <cellStyle name="Percent 3 3" xfId="3814"/>
    <cellStyle name="Percent 3 3 2" xfId="3815"/>
    <cellStyle name="Percent 3 3 3" xfId="3816"/>
    <cellStyle name="Percent 3 3 3 2" xfId="3817"/>
    <cellStyle name="Percent 3 4" xfId="3818"/>
    <cellStyle name="Percent 3 5" xfId="3819"/>
    <cellStyle name="Percent 3 5 2" xfId="3820"/>
    <cellStyle name="Percent 4" xfId="3821"/>
    <cellStyle name="Percent 4 2" xfId="3822"/>
    <cellStyle name="Percent 4 2 2" xfId="3823"/>
    <cellStyle name="Percent 4 3" xfId="3824"/>
    <cellStyle name="Percent 4 3 2" xfId="3825"/>
    <cellStyle name="Percent 4 3 2 2" xfId="3826"/>
    <cellStyle name="Percent 4 3 2 2 2" xfId="3827"/>
    <cellStyle name="Percent 4 3 2 3" xfId="3828"/>
    <cellStyle name="Percent 4 3 3" xfId="3829"/>
    <cellStyle name="Percent 4 4" xfId="3830"/>
    <cellStyle name="Percent 4 4 2" xfId="3831"/>
    <cellStyle name="Percent 4 5" xfId="3832"/>
    <cellStyle name="Percent 5" xfId="3833"/>
    <cellStyle name="Percent 5 2" xfId="3834"/>
    <cellStyle name="Percent 5 2 2" xfId="3835"/>
    <cellStyle name="Percent 5 2 2 2" xfId="3836"/>
    <cellStyle name="Percent 5 2 2 2 2" xfId="3837"/>
    <cellStyle name="Percent 5 2 2 3" xfId="3838"/>
    <cellStyle name="Percent 5 2 3" xfId="3839"/>
    <cellStyle name="Percent 5 2 3 2" xfId="3840"/>
    <cellStyle name="Percent 5 2 4" xfId="3841"/>
    <cellStyle name="Percent 5 3" xfId="3842"/>
    <cellStyle name="Percent 5 3 2" xfId="3843"/>
    <cellStyle name="Percent 5 3 2 2" xfId="3844"/>
    <cellStyle name="Percent 5 3 3" xfId="3845"/>
    <cellStyle name="Percent 5 4" xfId="3846"/>
    <cellStyle name="Percent 6" xfId="3847"/>
    <cellStyle name="Percent 6 2" xfId="3848"/>
    <cellStyle name="Percent 6 2 2" xfId="3849"/>
    <cellStyle name="Percent 6 2 2 2" xfId="3850"/>
    <cellStyle name="Percent 6 2 3" xfId="3851"/>
    <cellStyle name="Percent 6 2 3 2" xfId="3852"/>
    <cellStyle name="Percent 6 2 4" xfId="3853"/>
    <cellStyle name="Percent 6 2 4 2" xfId="3854"/>
    <cellStyle name="Percent 6 2 5" xfId="3855"/>
    <cellStyle name="Percent 6 3" xfId="3856"/>
    <cellStyle name="Percent 6 3 2" xfId="3857"/>
    <cellStyle name="Percent 6 3 2 2" xfId="3858"/>
    <cellStyle name="Percent 6 3 3" xfId="3859"/>
    <cellStyle name="Percent 6 3 3 2" xfId="3860"/>
    <cellStyle name="Percent 6 3 4" xfId="3861"/>
    <cellStyle name="Percent 6 3 4 2" xfId="3862"/>
    <cellStyle name="Percent 6 3 5" xfId="3863"/>
    <cellStyle name="Percent 6 4" xfId="3864"/>
    <cellStyle name="Percent 6 4 2" xfId="3865"/>
    <cellStyle name="Percent 6 4 2 2" xfId="3866"/>
    <cellStyle name="Percent 6 4 2 2 2" xfId="3867"/>
    <cellStyle name="Percent 6 4 2 3" xfId="3868"/>
    <cellStyle name="Percent 6 4 2 3 2" xfId="3869"/>
    <cellStyle name="Percent 6 4 2 4" xfId="3870"/>
    <cellStyle name="Percent 6 4 2 4 2" xfId="3871"/>
    <cellStyle name="Percent 6 4 2 4 3" xfId="3872"/>
    <cellStyle name="Percent 6 4 2 4 4" xfId="3873"/>
    <cellStyle name="Percent 6 4 2 4 4 2" xfId="3874"/>
    <cellStyle name="Percent 6 4 2 5" xfId="3875"/>
    <cellStyle name="Percent 6 4 3" xfId="3876"/>
    <cellStyle name="Percent 6 4 3 2" xfId="3877"/>
    <cellStyle name="Percent 6 4 4" xfId="3878"/>
    <cellStyle name="Percent 6 4 4 2" xfId="3879"/>
    <cellStyle name="Percent 6 4 5" xfId="3880"/>
    <cellStyle name="Percent 6 4 5 2" xfId="3881"/>
    <cellStyle name="Percent 6 4 5 3" xfId="3882"/>
    <cellStyle name="Percent 6 4 6" xfId="3883"/>
    <cellStyle name="Percent 6 5" xfId="3884"/>
    <cellStyle name="Percent 6 5 2" xfId="3885"/>
    <cellStyle name="Percent 6 5 2 2" xfId="3886"/>
    <cellStyle name="Percent 6 5 3" xfId="3887"/>
    <cellStyle name="Percent 6 5 3 2" xfId="3888"/>
    <cellStyle name="Percent 6 5 4" xfId="3889"/>
    <cellStyle name="Percent 6 5 4 2" xfId="3890"/>
    <cellStyle name="Percent 6 5 4 3" xfId="3891"/>
    <cellStyle name="Percent 6 5 4 4" xfId="3892"/>
    <cellStyle name="Percent 6 5 4 4 2" xfId="3893"/>
    <cellStyle name="Percent 6 5 5" xfId="3894"/>
    <cellStyle name="Percent 6 6" xfId="3895"/>
    <cellStyle name="Percent 6 6 2" xfId="3896"/>
    <cellStyle name="Percent 6 7" xfId="3897"/>
    <cellStyle name="Percent 6 8" xfId="3898"/>
    <cellStyle name="Percent 7" xfId="3899"/>
    <cellStyle name="Percent 7 2" xfId="3900"/>
    <cellStyle name="Percent 7 2 2" xfId="3901"/>
    <cellStyle name="Percent 7 2 2 2" xfId="3902"/>
    <cellStyle name="Percent 7 2 3" xfId="3903"/>
    <cellStyle name="Percent 7 2 3 2" xfId="3904"/>
    <cellStyle name="Percent 7 3" xfId="3905"/>
    <cellStyle name="Percent 7 3 2" xfId="3906"/>
    <cellStyle name="Percent 7 3 2 2" xfId="3907"/>
    <cellStyle name="Percent 7 4" xfId="3908"/>
    <cellStyle name="Percent 7 4 2" xfId="3909"/>
    <cellStyle name="Percent 7 5" xfId="3910"/>
    <cellStyle name="Percent 7 5 2" xfId="3911"/>
    <cellStyle name="Percent 7 6" xfId="3912"/>
    <cellStyle name="Percent 8" xfId="3913"/>
    <cellStyle name="Percent 8 2" xfId="3914"/>
    <cellStyle name="Percent 8 2 2" xfId="3915"/>
    <cellStyle name="Percent 8 3" xfId="3916"/>
    <cellStyle name="Percent 8 3 2" xfId="3917"/>
    <cellStyle name="Percent 8 4" xfId="3918"/>
    <cellStyle name="Percent 8 4 2" xfId="3919"/>
    <cellStyle name="Percent 8 5" xfId="3920"/>
    <cellStyle name="Percent 9" xfId="3921"/>
    <cellStyle name="Percent 9 2" xfId="3922"/>
    <cellStyle name="Percent 9 3" xfId="3923"/>
    <cellStyle name="Percent 9 4" xfId="3924"/>
    <cellStyle name="Percent 9 4 2" xfId="3925"/>
    <cellStyle name="Percent 9 4 3" xfId="3926"/>
    <cellStyle name="Percent 9 4 4" xfId="3927"/>
    <cellStyle name="Percent 9 4 4 2" xfId="3928"/>
    <cellStyle name="Percent 9 5" xfId="3929"/>
    <cellStyle name="Pesetas" xfId="3930"/>
    <cellStyle name="Pesetas 2" xfId="3931"/>
    <cellStyle name="Pesetas 3" xfId="3932"/>
    <cellStyle name="Pesetas 4" xfId="3933"/>
    <cellStyle name="Pesetas 5" xfId="3934"/>
    <cellStyle name="Pesetas 6" xfId="3935"/>
    <cellStyle name="TableTitles" xfId="3936"/>
    <cellStyle name="Title" xfId="3937" builtinId="15" customBuiltin="1"/>
    <cellStyle name="Title 2" xfId="3938"/>
    <cellStyle name="Total 2" xfId="3939"/>
    <cellStyle name="Variable" xfId="3940"/>
    <cellStyle name="Warning Text 2" xfId="39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E231"/>
  <sheetViews>
    <sheetView tabSelected="1" view="pageBreakPreview" zoomScale="90" zoomScaleNormal="90" zoomScaleSheetLayoutView="90" workbookViewId="0">
      <pane xSplit="3" ySplit="9" topLeftCell="W18" activePane="bottomRight" state="frozen"/>
      <selection pane="topRight" activeCell="C1" sqref="C1"/>
      <selection pane="bottomLeft" activeCell="A10" sqref="A10"/>
      <selection pane="bottomRight" activeCell="F145" sqref="F145"/>
    </sheetView>
  </sheetViews>
  <sheetFormatPr defaultRowHeight="15" outlineLevelRow="2"/>
  <cols>
    <col min="1" max="1" width="22.85546875" style="10" customWidth="1"/>
    <col min="2" max="2" width="9.85546875" style="10" hidden="1" customWidth="1"/>
    <col min="3" max="3" width="55.85546875" style="10" customWidth="1"/>
    <col min="4" max="13" width="24.28515625" style="24" customWidth="1"/>
    <col min="14" max="14" width="32.7109375" style="24" bestFit="1" customWidth="1"/>
    <col min="15" max="26" width="24.28515625" style="24" customWidth="1"/>
    <col min="27" max="27" width="29.5703125" style="24" bestFit="1" customWidth="1"/>
    <col min="28" max="28" width="24.28515625" style="24" customWidth="1"/>
    <col min="29" max="29" width="24.28515625" style="40" customWidth="1"/>
    <col min="30" max="30" width="3" style="35" customWidth="1"/>
    <col min="31" max="31" width="16.7109375" style="24" bestFit="1" customWidth="1"/>
    <col min="32" max="32" width="9.140625" style="10"/>
    <col min="33" max="33" width="13.28515625" style="10" bestFit="1" customWidth="1"/>
    <col min="34" max="16384" width="9.140625" style="10"/>
  </cols>
  <sheetData>
    <row r="1" spans="1:31">
      <c r="A1" s="12"/>
      <c r="B1" s="12"/>
    </row>
    <row r="2" spans="1:31" s="12" customFormat="1" ht="17.25" customHeight="1">
      <c r="A2" s="54" t="s">
        <v>41</v>
      </c>
      <c r="B2" s="54"/>
      <c r="C2" s="11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41"/>
      <c r="AD2" s="49"/>
      <c r="AE2" s="27"/>
    </row>
    <row r="3" spans="1:31" s="12" customFormat="1" ht="17.25" customHeight="1">
      <c r="A3" s="54" t="s">
        <v>69</v>
      </c>
      <c r="B3" s="54"/>
      <c r="C3" s="11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41"/>
      <c r="AD3" s="49"/>
      <c r="AE3" s="27"/>
    </row>
    <row r="4" spans="1:31" s="12" customFormat="1" ht="17.25" customHeight="1">
      <c r="A4" s="54" t="s">
        <v>70</v>
      </c>
      <c r="B4" s="54"/>
      <c r="C4" s="11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41"/>
      <c r="AD4" s="49"/>
      <c r="AE4" s="27"/>
    </row>
    <row r="5" spans="1:31" s="12" customFormat="1" ht="18" customHeight="1">
      <c r="A5" t="s">
        <v>0</v>
      </c>
      <c r="B5" s="51"/>
      <c r="C5" s="11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41"/>
      <c r="AD5" s="49"/>
      <c r="AE5" s="27"/>
    </row>
    <row r="6" spans="1:31" ht="18" customHeight="1">
      <c r="A6" s="13"/>
      <c r="B6" s="13"/>
      <c r="C6" s="13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42"/>
    </row>
    <row r="7" spans="1:31" s="12" customFormat="1" ht="18" customHeight="1">
      <c r="A7" s="38"/>
      <c r="B7" s="38"/>
      <c r="D7" s="39" t="s">
        <v>42</v>
      </c>
      <c r="E7" s="39" t="s">
        <v>43</v>
      </c>
      <c r="F7" s="39" t="s">
        <v>44</v>
      </c>
      <c r="G7" s="39" t="s">
        <v>45</v>
      </c>
      <c r="H7" s="39" t="s">
        <v>46</v>
      </c>
      <c r="I7" s="39" t="s">
        <v>47</v>
      </c>
      <c r="J7" s="39" t="s">
        <v>48</v>
      </c>
      <c r="K7" s="39" t="s">
        <v>49</v>
      </c>
      <c r="L7" s="39" t="s">
        <v>50</v>
      </c>
      <c r="M7" s="39" t="s">
        <v>51</v>
      </c>
      <c r="N7" s="39" t="s">
        <v>52</v>
      </c>
      <c r="O7" s="37" t="s">
        <v>53</v>
      </c>
      <c r="P7" s="37" t="s">
        <v>54</v>
      </c>
      <c r="Q7" s="39" t="s">
        <v>55</v>
      </c>
      <c r="R7" s="39" t="s">
        <v>56</v>
      </c>
      <c r="S7" s="39" t="s">
        <v>57</v>
      </c>
      <c r="T7" s="39" t="s">
        <v>58</v>
      </c>
      <c r="U7" s="37" t="s">
        <v>59</v>
      </c>
      <c r="V7" s="37" t="s">
        <v>60</v>
      </c>
      <c r="W7" s="39" t="s">
        <v>41</v>
      </c>
      <c r="X7" s="39" t="s">
        <v>61</v>
      </c>
      <c r="Y7" s="37" t="s">
        <v>62</v>
      </c>
      <c r="Z7" s="39" t="s">
        <v>63</v>
      </c>
      <c r="AA7" s="39" t="s">
        <v>64</v>
      </c>
      <c r="AB7" s="39" t="s">
        <v>65</v>
      </c>
      <c r="AC7" s="48" t="s">
        <v>66</v>
      </c>
      <c r="AD7" s="49"/>
      <c r="AE7" s="39" t="s">
        <v>67</v>
      </c>
    </row>
    <row r="8" spans="1:31" ht="18" customHeight="1">
      <c r="A8" s="13"/>
      <c r="B8" s="13"/>
      <c r="C8" s="16" t="s">
        <v>1</v>
      </c>
      <c r="D8" s="52" t="s">
        <v>198</v>
      </c>
      <c r="E8" s="52" t="s">
        <v>199</v>
      </c>
      <c r="F8" s="52" t="s">
        <v>200</v>
      </c>
      <c r="G8" s="52" t="s">
        <v>201</v>
      </c>
      <c r="H8" s="52" t="s">
        <v>202</v>
      </c>
      <c r="I8" s="52" t="s">
        <v>203</v>
      </c>
      <c r="J8" s="52" t="s">
        <v>204</v>
      </c>
      <c r="K8" s="52" t="s">
        <v>205</v>
      </c>
      <c r="L8" s="52" t="s">
        <v>206</v>
      </c>
      <c r="M8" s="52" t="s">
        <v>207</v>
      </c>
      <c r="N8" s="52" t="s">
        <v>208</v>
      </c>
      <c r="O8" s="52" t="s">
        <v>209</v>
      </c>
      <c r="P8" s="52" t="s">
        <v>210</v>
      </c>
      <c r="Q8" s="52" t="s">
        <v>211</v>
      </c>
      <c r="R8" s="52" t="s">
        <v>212</v>
      </c>
      <c r="S8" s="52" t="s">
        <v>213</v>
      </c>
      <c r="T8" s="52" t="s">
        <v>214</v>
      </c>
      <c r="U8" s="52" t="s">
        <v>215</v>
      </c>
      <c r="V8" s="52" t="s">
        <v>216</v>
      </c>
      <c r="W8" s="52" t="s">
        <v>217</v>
      </c>
      <c r="X8" s="52" t="s">
        <v>218</v>
      </c>
      <c r="Y8" s="52" t="s">
        <v>219</v>
      </c>
      <c r="Z8" s="52" t="s">
        <v>220</v>
      </c>
      <c r="AA8" s="52" t="s">
        <v>221</v>
      </c>
      <c r="AB8" s="52" t="s">
        <v>222</v>
      </c>
      <c r="AC8" s="52" t="s">
        <v>223</v>
      </c>
      <c r="AE8" s="27"/>
    </row>
    <row r="9" spans="1:31" s="14" customFormat="1" ht="21.75" customHeight="1">
      <c r="A9" s="17"/>
      <c r="B9" s="17"/>
      <c r="C9" s="17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43"/>
      <c r="AD9" s="50"/>
      <c r="AE9" s="30"/>
    </row>
    <row r="10" spans="1:31" ht="21.75" customHeight="1"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44"/>
    </row>
    <row r="11" spans="1:31">
      <c r="A11" s="18" t="s">
        <v>36</v>
      </c>
      <c r="B11" s="18"/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45">
        <v>0</v>
      </c>
      <c r="AE11" s="45">
        <f>SUM(D11:AC11)</f>
        <v>0</v>
      </c>
    </row>
    <row r="12" spans="1:31">
      <c r="A12" s="18"/>
      <c r="B12" s="18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46"/>
      <c r="AE12" s="1"/>
    </row>
    <row r="13" spans="1:31">
      <c r="A13" s="18" t="s">
        <v>2</v>
      </c>
      <c r="B13" s="18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46"/>
      <c r="AE13" s="1"/>
    </row>
    <row r="14" spans="1:31">
      <c r="B14">
        <v>0.9903334429730174</v>
      </c>
      <c r="C14" s="10" t="s">
        <v>3</v>
      </c>
      <c r="D14" s="1">
        <v>3699223.512342914</v>
      </c>
      <c r="E14" s="1">
        <v>1487835.6482667772</v>
      </c>
      <c r="F14" s="1">
        <v>2045424.4454090134</v>
      </c>
      <c r="G14" s="1">
        <v>2965877.7648104429</v>
      </c>
      <c r="H14" s="1">
        <v>8666719.6127883401</v>
      </c>
      <c r="I14" s="1">
        <v>4418232.0848695459</v>
      </c>
      <c r="J14" s="1">
        <v>42776924.546667285</v>
      </c>
      <c r="K14" s="1">
        <v>3529876.9297019923</v>
      </c>
      <c r="L14" s="1">
        <v>8498421.933055697</v>
      </c>
      <c r="M14" s="1">
        <v>3578680.6135353479</v>
      </c>
      <c r="N14" s="1">
        <v>17506782.448221207</v>
      </c>
      <c r="O14" s="1">
        <v>3581209.876439726</v>
      </c>
      <c r="P14" s="34">
        <v>5464226.0186958415</v>
      </c>
      <c r="Q14" s="1">
        <v>207630.51708655839</v>
      </c>
      <c r="R14" s="1">
        <v>19619088.101971954</v>
      </c>
      <c r="S14" s="1">
        <v>36922571.175675035</v>
      </c>
      <c r="T14" s="1">
        <v>3210593.9662225437</v>
      </c>
      <c r="U14" s="1">
        <v>9896339.2130995132</v>
      </c>
      <c r="V14" s="1">
        <v>14066458.03974309</v>
      </c>
      <c r="W14" s="1">
        <v>5068627.8928638203</v>
      </c>
      <c r="X14" s="1">
        <v>859245.1511247491</v>
      </c>
      <c r="Y14" s="1">
        <v>4680636.1880536312</v>
      </c>
      <c r="Z14" s="1">
        <v>4021252.6462842589</v>
      </c>
      <c r="AA14" s="1">
        <v>13309266.921428768</v>
      </c>
      <c r="AB14" s="1">
        <v>873163.42679708882</v>
      </c>
      <c r="AC14" s="1">
        <v>874644.38961582037</v>
      </c>
      <c r="AE14" s="5">
        <f>SUM(D14:AC14)</f>
        <v>221828953.06477097</v>
      </c>
    </row>
    <row r="15" spans="1:31">
      <c r="B15">
        <v>9.6665570269825942E-3</v>
      </c>
      <c r="C15" s="10" t="s">
        <v>4</v>
      </c>
      <c r="D15" s="1">
        <v>84659.234610332991</v>
      </c>
      <c r="E15" s="1">
        <v>24692.141742620654</v>
      </c>
      <c r="F15" s="1">
        <v>65967.145219727565</v>
      </c>
      <c r="G15" s="1">
        <v>53233.960933167109</v>
      </c>
      <c r="H15" s="1">
        <v>155077.81684635766</v>
      </c>
      <c r="I15" s="1">
        <v>96416.898026329058</v>
      </c>
      <c r="J15" s="1">
        <v>896981.90027460572</v>
      </c>
      <c r="K15" s="1">
        <v>173617.12179835158</v>
      </c>
      <c r="L15" s="1">
        <v>140896.80839972961</v>
      </c>
      <c r="M15" s="1">
        <v>54205.908749164199</v>
      </c>
      <c r="N15" s="1">
        <v>260092.87540817817</v>
      </c>
      <c r="O15" s="1">
        <v>68918.434003696355</v>
      </c>
      <c r="P15" s="34">
        <v>113546.76729667578</v>
      </c>
      <c r="Q15" s="1">
        <v>3654.8338944609986</v>
      </c>
      <c r="R15" s="1">
        <v>648528.8915012026</v>
      </c>
      <c r="S15" s="1">
        <v>1041421.0486481289</v>
      </c>
      <c r="T15" s="1">
        <v>254220.7309909426</v>
      </c>
      <c r="U15" s="1">
        <v>165194.71513824997</v>
      </c>
      <c r="V15" s="1">
        <v>605670.92996917188</v>
      </c>
      <c r="W15" s="1">
        <v>83509.280083470512</v>
      </c>
      <c r="X15" s="1">
        <v>11749.871877122521</v>
      </c>
      <c r="Y15" s="1">
        <v>76260.769674244279</v>
      </c>
      <c r="Z15" s="1">
        <v>78766.829294029158</v>
      </c>
      <c r="AA15" s="1">
        <v>220218.02460735815</v>
      </c>
      <c r="AB15" s="1">
        <v>9286.157476138198</v>
      </c>
      <c r="AC15" s="1">
        <v>13823.802692861082</v>
      </c>
      <c r="AE15" s="5">
        <f>SUM(D15:AC15)</f>
        <v>5400612.899156318</v>
      </c>
    </row>
    <row r="16" spans="1:31">
      <c r="A16" s="18" t="s">
        <v>5</v>
      </c>
      <c r="B16" s="18"/>
      <c r="D16" s="3">
        <f>SUM(D14:D15)</f>
        <v>3783882.7469532471</v>
      </c>
      <c r="E16" s="3">
        <f t="shared" ref="E16:AC16" si="0">SUM(E14:E15)</f>
        <v>1512527.7900093978</v>
      </c>
      <c r="F16" s="3">
        <f t="shared" si="0"/>
        <v>2111391.5906287408</v>
      </c>
      <c r="G16" s="3">
        <f t="shared" si="0"/>
        <v>3019111.7257436099</v>
      </c>
      <c r="H16" s="3">
        <f t="shared" si="0"/>
        <v>8821797.4296346977</v>
      </c>
      <c r="I16" s="3">
        <f t="shared" si="0"/>
        <v>4514648.9828958753</v>
      </c>
      <c r="J16" s="3">
        <f t="shared" si="0"/>
        <v>43673906.44694189</v>
      </c>
      <c r="K16" s="3">
        <f t="shared" si="0"/>
        <v>3703494.0515003437</v>
      </c>
      <c r="L16" s="3">
        <f t="shared" si="0"/>
        <v>8639318.7414554264</v>
      </c>
      <c r="M16" s="3">
        <f t="shared" si="0"/>
        <v>3632886.5222845119</v>
      </c>
      <c r="N16" s="3">
        <f t="shared" si="0"/>
        <v>17766875.323629383</v>
      </c>
      <c r="O16" s="3">
        <f t="shared" si="0"/>
        <v>3650128.3104434223</v>
      </c>
      <c r="P16" s="3">
        <f t="shared" si="0"/>
        <v>5577772.7859925171</v>
      </c>
      <c r="Q16" s="3">
        <f t="shared" si="0"/>
        <v>211285.35098101938</v>
      </c>
      <c r="R16" s="3">
        <f t="shared" si="0"/>
        <v>20267616.993473157</v>
      </c>
      <c r="S16" s="3">
        <f t="shared" si="0"/>
        <v>37963992.224323161</v>
      </c>
      <c r="T16" s="3">
        <f t="shared" si="0"/>
        <v>3464814.6972134863</v>
      </c>
      <c r="U16" s="3">
        <f t="shared" si="0"/>
        <v>10061533.928237762</v>
      </c>
      <c r="V16" s="3">
        <f t="shared" si="0"/>
        <v>14672128.969712261</v>
      </c>
      <c r="W16" s="3">
        <f t="shared" si="0"/>
        <v>5152137.1729472913</v>
      </c>
      <c r="X16" s="3">
        <f t="shared" si="0"/>
        <v>870995.02300187165</v>
      </c>
      <c r="Y16" s="3">
        <f t="shared" si="0"/>
        <v>4756896.9577278756</v>
      </c>
      <c r="Z16" s="3">
        <f t="shared" si="0"/>
        <v>4100019.4755782881</v>
      </c>
      <c r="AA16" s="3">
        <f t="shared" si="0"/>
        <v>13529484.946036126</v>
      </c>
      <c r="AB16" s="3">
        <f t="shared" si="0"/>
        <v>882449.58427322702</v>
      </c>
      <c r="AC16" s="3">
        <f t="shared" si="0"/>
        <v>888468.19230868143</v>
      </c>
      <c r="AD16" s="36"/>
      <c r="AE16" s="3">
        <f>SUM(AE14:AE15)</f>
        <v>227229565.9639273</v>
      </c>
    </row>
    <row r="17" spans="1:31">
      <c r="A17" s="18"/>
      <c r="B17" s="18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E17" s="1"/>
    </row>
    <row r="18" spans="1:31">
      <c r="A18" s="18" t="s">
        <v>33</v>
      </c>
      <c r="B18" s="18"/>
      <c r="D18" s="4">
        <f>+D11+D16</f>
        <v>3783882.7469532471</v>
      </c>
      <c r="E18" s="4">
        <f t="shared" ref="E18:AE18" si="1">+E11+E16</f>
        <v>1512527.7900093978</v>
      </c>
      <c r="F18" s="4">
        <f t="shared" si="1"/>
        <v>2111391.5906287408</v>
      </c>
      <c r="G18" s="4">
        <f t="shared" si="1"/>
        <v>3019111.7257436099</v>
      </c>
      <c r="H18" s="4">
        <f t="shared" si="1"/>
        <v>8821797.4296346977</v>
      </c>
      <c r="I18" s="4">
        <f t="shared" si="1"/>
        <v>4514648.9828958753</v>
      </c>
      <c r="J18" s="4">
        <f t="shared" si="1"/>
        <v>43673906.44694189</v>
      </c>
      <c r="K18" s="4">
        <f t="shared" si="1"/>
        <v>3703494.0515003437</v>
      </c>
      <c r="L18" s="4">
        <f t="shared" si="1"/>
        <v>8639318.7414554264</v>
      </c>
      <c r="M18" s="4">
        <f t="shared" si="1"/>
        <v>3632886.5222845119</v>
      </c>
      <c r="N18" s="4">
        <f t="shared" si="1"/>
        <v>17766875.323629383</v>
      </c>
      <c r="O18" s="4">
        <f t="shared" si="1"/>
        <v>3650128.3104434223</v>
      </c>
      <c r="P18" s="4">
        <f t="shared" si="1"/>
        <v>5577772.7859925171</v>
      </c>
      <c r="Q18" s="4">
        <f t="shared" si="1"/>
        <v>211285.35098101938</v>
      </c>
      <c r="R18" s="4">
        <f t="shared" si="1"/>
        <v>20267616.993473157</v>
      </c>
      <c r="S18" s="4">
        <f t="shared" si="1"/>
        <v>37963992.224323161</v>
      </c>
      <c r="T18" s="4">
        <f t="shared" si="1"/>
        <v>3464814.6972134863</v>
      </c>
      <c r="U18" s="4">
        <f t="shared" si="1"/>
        <v>10061533.928237762</v>
      </c>
      <c r="V18" s="4">
        <f t="shared" si="1"/>
        <v>14672128.969712261</v>
      </c>
      <c r="W18" s="4">
        <f t="shared" si="1"/>
        <v>5152137.1729472913</v>
      </c>
      <c r="X18" s="4">
        <f t="shared" si="1"/>
        <v>870995.02300187165</v>
      </c>
      <c r="Y18" s="4">
        <f t="shared" si="1"/>
        <v>4756896.9577278756</v>
      </c>
      <c r="Z18" s="4">
        <f t="shared" si="1"/>
        <v>4100019.4755782881</v>
      </c>
      <c r="AA18" s="4">
        <f t="shared" si="1"/>
        <v>13529484.946036126</v>
      </c>
      <c r="AB18" s="4">
        <f t="shared" si="1"/>
        <v>882449.58427322702</v>
      </c>
      <c r="AC18" s="4">
        <f t="shared" si="1"/>
        <v>888468.19230868143</v>
      </c>
      <c r="AE18" s="4">
        <f t="shared" si="1"/>
        <v>227229565.9639273</v>
      </c>
    </row>
    <row r="19" spans="1:31">
      <c r="A19" s="18"/>
      <c r="B19" s="18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46"/>
      <c r="AD19" s="36"/>
      <c r="AE19" s="1"/>
    </row>
    <row r="20" spans="1:31" ht="31.5" customHeight="1">
      <c r="A20" s="55" t="s">
        <v>40</v>
      </c>
      <c r="B20" s="55"/>
      <c r="C20" s="55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6"/>
      <c r="AE20" s="1"/>
    </row>
    <row r="21" spans="1:31">
      <c r="A21" s="19"/>
      <c r="B21" s="19"/>
      <c r="C21" s="20" t="s">
        <v>68</v>
      </c>
      <c r="D21" s="1">
        <v>24242.837131440621</v>
      </c>
      <c r="E21" s="1">
        <v>19722.129477342012</v>
      </c>
      <c r="F21" s="1">
        <v>31717.21357980516</v>
      </c>
      <c r="G21" s="1">
        <v>28844.705064226935</v>
      </c>
      <c r="H21" s="1">
        <v>69456.039517942569</v>
      </c>
      <c r="I21" s="1">
        <v>35384.006044363014</v>
      </c>
      <c r="J21" s="1">
        <v>220079.81852014025</v>
      </c>
      <c r="K21" s="1">
        <v>33463.467752417317</v>
      </c>
      <c r="L21" s="1">
        <v>55874.149231210118</v>
      </c>
      <c r="M21" s="1">
        <v>26817.193878108566</v>
      </c>
      <c r="N21" s="1">
        <v>109260.5194546611</v>
      </c>
      <c r="O21" s="1">
        <v>37094.103878042821</v>
      </c>
      <c r="P21" s="1">
        <v>55546.969857274606</v>
      </c>
      <c r="Q21" s="1">
        <v>5745.470203646345</v>
      </c>
      <c r="R21" s="1">
        <v>122159.46019957637</v>
      </c>
      <c r="S21" s="1">
        <v>210843.75980440466</v>
      </c>
      <c r="T21" s="1">
        <v>23741.956847342728</v>
      </c>
      <c r="U21" s="1">
        <v>75980.102697867929</v>
      </c>
      <c r="V21" s="1">
        <v>100431.94900434458</v>
      </c>
      <c r="W21" s="1">
        <v>42076.70159394294</v>
      </c>
      <c r="X21" s="1">
        <v>16247.707816220933</v>
      </c>
      <c r="Y21" s="1">
        <v>42867.969441427769</v>
      </c>
      <c r="Z21" s="1">
        <v>27612.161098712924</v>
      </c>
      <c r="AA21" s="1">
        <v>97359.292429627938</v>
      </c>
      <c r="AB21" s="1">
        <v>17095.921827557751</v>
      </c>
      <c r="AC21" s="1">
        <v>16335.274023352067</v>
      </c>
      <c r="AE21" s="1">
        <f>SUM(D21:AC21)</f>
        <v>1546000.8803749995</v>
      </c>
    </row>
    <row r="22" spans="1:31">
      <c r="C22" s="20" t="s">
        <v>6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E22" s="1">
        <f>SUM(D22:AC22)</f>
        <v>0</v>
      </c>
    </row>
    <row r="23" spans="1:31" ht="15.75" hidden="1" customHeight="1" outlineLevel="2">
      <c r="A23" t="s">
        <v>26</v>
      </c>
      <c r="B23" s="51" t="s">
        <v>226</v>
      </c>
      <c r="C23" s="10" t="s">
        <v>251</v>
      </c>
      <c r="D23" s="1">
        <v>8615.189776011679</v>
      </c>
      <c r="E23" s="1">
        <v>156563.81039712616</v>
      </c>
      <c r="F23" s="1">
        <v>99459.468903935616</v>
      </c>
      <c r="G23" s="1">
        <v>101114.34629290769</v>
      </c>
      <c r="H23" s="1">
        <v>44260.644609520845</v>
      </c>
      <c r="I23" s="1">
        <v>70061.033847454717</v>
      </c>
      <c r="J23" s="1">
        <v>1218664.2016339574</v>
      </c>
      <c r="K23" s="1">
        <v>36467.702720619716</v>
      </c>
      <c r="L23" s="1">
        <v>59430.041104063028</v>
      </c>
      <c r="M23" s="1">
        <v>134656.96086018518</v>
      </c>
      <c r="N23" s="1">
        <v>0</v>
      </c>
      <c r="O23" s="1">
        <v>77618.420226842019</v>
      </c>
      <c r="P23" s="1">
        <v>196527.05821185367</v>
      </c>
      <c r="Q23" s="1">
        <v>0</v>
      </c>
      <c r="R23" s="1">
        <v>378463.94176212337</v>
      </c>
      <c r="S23" s="1">
        <v>1834464.7470197324</v>
      </c>
      <c r="T23" s="1">
        <v>97378.61045779135</v>
      </c>
      <c r="U23" s="1">
        <v>499019.47053234972</v>
      </c>
      <c r="V23" s="1">
        <v>626773.15570435324</v>
      </c>
      <c r="W23" s="1">
        <v>287760.00294197211</v>
      </c>
      <c r="X23" s="1">
        <v>0</v>
      </c>
      <c r="Y23" s="1">
        <v>93255.504891703997</v>
      </c>
      <c r="Z23" s="1">
        <v>186500.85791387243</v>
      </c>
      <c r="AA23" s="1">
        <v>25570.271472765802</v>
      </c>
      <c r="AB23" s="1">
        <v>0</v>
      </c>
      <c r="AC23" s="1">
        <v>0</v>
      </c>
      <c r="AE23" s="1">
        <f t="shared" ref="AE23:AE198" si="2">SUM(D23:AC23)</f>
        <v>6232625.4412811417</v>
      </c>
    </row>
    <row r="24" spans="1:31" ht="15.75" customHeight="1" outlineLevel="1" collapsed="1">
      <c r="A24" t="s">
        <v>227</v>
      </c>
      <c r="B24" s="51"/>
      <c r="C24" s="21" t="s">
        <v>7</v>
      </c>
      <c r="D24" s="1">
        <f t="shared" ref="D24:AC24" si="3">SUBTOTAL(9,D23:D23)</f>
        <v>8615.189776011679</v>
      </c>
      <c r="E24" s="1">
        <f t="shared" si="3"/>
        <v>156563.81039712616</v>
      </c>
      <c r="F24" s="1">
        <f t="shared" si="3"/>
        <v>99459.468903935616</v>
      </c>
      <c r="G24" s="1">
        <f t="shared" si="3"/>
        <v>101114.34629290769</v>
      </c>
      <c r="H24" s="1">
        <f t="shared" si="3"/>
        <v>44260.644609520845</v>
      </c>
      <c r="I24" s="1">
        <f t="shared" si="3"/>
        <v>70061.033847454717</v>
      </c>
      <c r="J24" s="1">
        <f t="shared" si="3"/>
        <v>1218664.2016339574</v>
      </c>
      <c r="K24" s="1">
        <f t="shared" si="3"/>
        <v>36467.702720619716</v>
      </c>
      <c r="L24" s="1">
        <f t="shared" si="3"/>
        <v>59430.041104063028</v>
      </c>
      <c r="M24" s="1">
        <f t="shared" si="3"/>
        <v>134656.96086018518</v>
      </c>
      <c r="N24" s="1">
        <f t="shared" si="3"/>
        <v>0</v>
      </c>
      <c r="O24" s="1">
        <f t="shared" si="3"/>
        <v>77618.420226842019</v>
      </c>
      <c r="P24" s="1">
        <f t="shared" si="3"/>
        <v>196527.05821185367</v>
      </c>
      <c r="Q24" s="1">
        <f t="shared" si="3"/>
        <v>0</v>
      </c>
      <c r="R24" s="1">
        <f t="shared" si="3"/>
        <v>378463.94176212337</v>
      </c>
      <c r="S24" s="1">
        <f t="shared" si="3"/>
        <v>1834464.7470197324</v>
      </c>
      <c r="T24" s="1">
        <f t="shared" si="3"/>
        <v>97378.61045779135</v>
      </c>
      <c r="U24" s="1">
        <f t="shared" si="3"/>
        <v>499019.47053234972</v>
      </c>
      <c r="V24" s="1">
        <f t="shared" si="3"/>
        <v>626773.15570435324</v>
      </c>
      <c r="W24" s="1">
        <f t="shared" si="3"/>
        <v>287760.00294197211</v>
      </c>
      <c r="X24" s="1">
        <f t="shared" si="3"/>
        <v>0</v>
      </c>
      <c r="Y24" s="1">
        <f t="shared" si="3"/>
        <v>93255.504891703997</v>
      </c>
      <c r="Z24" s="1">
        <f t="shared" si="3"/>
        <v>186500.85791387243</v>
      </c>
      <c r="AA24" s="1">
        <f t="shared" si="3"/>
        <v>25570.271472765802</v>
      </c>
      <c r="AB24" s="1">
        <f t="shared" si="3"/>
        <v>0</v>
      </c>
      <c r="AC24" s="1">
        <f t="shared" si="3"/>
        <v>0</v>
      </c>
      <c r="AE24" s="1">
        <f>SUBTOTAL(9,AE23:AE23)</f>
        <v>6232625.4412811417</v>
      </c>
    </row>
    <row r="25" spans="1:31" ht="15.75" hidden="1" customHeight="1" outlineLevel="2">
      <c r="A25" t="s">
        <v>95</v>
      </c>
      <c r="B25" s="51" t="s">
        <v>74</v>
      </c>
      <c r="C25" s="21" t="s">
        <v>252</v>
      </c>
      <c r="D25" s="1">
        <v>600.00613423028813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234.55060962881467</v>
      </c>
      <c r="AB25" s="1">
        <v>0</v>
      </c>
      <c r="AC25" s="1">
        <v>0</v>
      </c>
      <c r="AE25" s="1">
        <f t="shared" si="2"/>
        <v>834.55674385910277</v>
      </c>
    </row>
    <row r="26" spans="1:31" ht="15.75" hidden="1" customHeight="1" outlineLevel="2">
      <c r="A26" t="s">
        <v>95</v>
      </c>
      <c r="B26" s="51" t="s">
        <v>75</v>
      </c>
      <c r="C26" s="21" t="s">
        <v>253</v>
      </c>
      <c r="D26" s="1">
        <v>0</v>
      </c>
      <c r="E26" s="1">
        <v>22173.980269036754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101709.84332933836</v>
      </c>
      <c r="AB26" s="1">
        <v>0</v>
      </c>
      <c r="AC26" s="1">
        <v>0</v>
      </c>
      <c r="AE26" s="1">
        <f t="shared" si="2"/>
        <v>123883.82359837511</v>
      </c>
    </row>
    <row r="27" spans="1:31" ht="15.75" hidden="1" customHeight="1" outlineLevel="2">
      <c r="A27" t="s">
        <v>95</v>
      </c>
      <c r="B27" s="51" t="s">
        <v>76</v>
      </c>
      <c r="C27" s="21" t="s">
        <v>254</v>
      </c>
      <c r="D27" s="1">
        <v>0</v>
      </c>
      <c r="E27" s="1">
        <v>0</v>
      </c>
      <c r="F27" s="1">
        <v>16434.681219973707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E27" s="1">
        <f t="shared" si="2"/>
        <v>16434.681219973707</v>
      </c>
    </row>
    <row r="28" spans="1:31" ht="15.75" hidden="1" customHeight="1" outlineLevel="2">
      <c r="A28" t="s">
        <v>95</v>
      </c>
      <c r="B28" s="51" t="s">
        <v>77</v>
      </c>
      <c r="C28" s="21" t="s">
        <v>255</v>
      </c>
      <c r="D28" s="1">
        <v>0</v>
      </c>
      <c r="E28" s="1">
        <v>0</v>
      </c>
      <c r="F28" s="1">
        <v>19422.173290559371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E28" s="1">
        <f t="shared" si="2"/>
        <v>19422.173290559371</v>
      </c>
    </row>
    <row r="29" spans="1:31" ht="15.75" hidden="1" customHeight="1" outlineLevel="2">
      <c r="A29" t="s">
        <v>95</v>
      </c>
      <c r="B29" s="51" t="s">
        <v>78</v>
      </c>
      <c r="C29" s="21" t="s">
        <v>256</v>
      </c>
      <c r="D29" s="1">
        <v>0</v>
      </c>
      <c r="E29" s="1">
        <v>0</v>
      </c>
      <c r="F29" s="1">
        <v>0</v>
      </c>
      <c r="G29" s="1">
        <v>12691.445674638479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E29" s="1">
        <f t="shared" si="2"/>
        <v>12691.445674638479</v>
      </c>
    </row>
    <row r="30" spans="1:31" ht="15.75" hidden="1" customHeight="1" outlineLevel="2">
      <c r="A30" t="s">
        <v>95</v>
      </c>
      <c r="B30" s="51" t="s">
        <v>79</v>
      </c>
      <c r="C30" s="21" t="s">
        <v>257</v>
      </c>
      <c r="D30" s="1">
        <v>0</v>
      </c>
      <c r="E30" s="1">
        <v>0</v>
      </c>
      <c r="F30" s="1">
        <v>0</v>
      </c>
      <c r="G30" s="1">
        <v>0</v>
      </c>
      <c r="H30" s="1">
        <v>11111.638853356657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E30" s="1">
        <f t="shared" si="2"/>
        <v>11111.638853356657</v>
      </c>
    </row>
    <row r="31" spans="1:31" ht="15.75" hidden="1" customHeight="1" outlineLevel="2">
      <c r="A31" t="s">
        <v>95</v>
      </c>
      <c r="B31" s="51" t="s">
        <v>80</v>
      </c>
      <c r="C31" s="21" t="s">
        <v>258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24317.118889463112</v>
      </c>
      <c r="J31" s="1">
        <v>0</v>
      </c>
      <c r="K31" s="1">
        <v>0</v>
      </c>
      <c r="L31" s="1">
        <v>0</v>
      </c>
      <c r="M31" s="1">
        <v>0</v>
      </c>
      <c r="N31" s="1">
        <v>27549.554961114471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E31" s="1">
        <f t="shared" si="2"/>
        <v>51866.673850577587</v>
      </c>
    </row>
    <row r="32" spans="1:31" ht="15.75" hidden="1" customHeight="1" outlineLevel="2">
      <c r="A32" t="s">
        <v>95</v>
      </c>
      <c r="B32" s="51" t="s">
        <v>81</v>
      </c>
      <c r="C32" s="21" t="s">
        <v>259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85977.777405599161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2604.9850709043076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E32" s="1">
        <f t="shared" si="2"/>
        <v>88582.762476503471</v>
      </c>
    </row>
    <row r="33" spans="1:31" ht="15.75" hidden="1" customHeight="1" outlineLevel="2">
      <c r="A33" t="s">
        <v>95</v>
      </c>
      <c r="B33" s="51" t="s">
        <v>82</v>
      </c>
      <c r="C33" s="21" t="s">
        <v>260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37822.197986070525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E33" s="1">
        <f t="shared" si="2"/>
        <v>37822.197986070525</v>
      </c>
    </row>
    <row r="34" spans="1:31" ht="15.75" hidden="1" customHeight="1" outlineLevel="2">
      <c r="A34" t="s">
        <v>95</v>
      </c>
      <c r="B34" s="51" t="s">
        <v>83</v>
      </c>
      <c r="C34" s="21" t="s">
        <v>261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40669.291619330761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E34" s="1">
        <f t="shared" si="2"/>
        <v>40669.291619330761</v>
      </c>
    </row>
    <row r="35" spans="1:31" ht="15.75" hidden="1" customHeight="1" outlineLevel="2">
      <c r="A35" t="s">
        <v>95</v>
      </c>
      <c r="B35" s="51" t="s">
        <v>84</v>
      </c>
      <c r="C35" s="21" t="s">
        <v>262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26746.533830001503</v>
      </c>
      <c r="O35" s="1">
        <v>37248.981507759963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E35" s="1">
        <f t="shared" si="2"/>
        <v>63995.515337761462</v>
      </c>
    </row>
    <row r="36" spans="1:31" ht="15.75" hidden="1" customHeight="1" outlineLevel="2">
      <c r="A36" t="s">
        <v>95</v>
      </c>
      <c r="B36" s="51" t="s">
        <v>85</v>
      </c>
      <c r="C36" s="21" t="s">
        <v>263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4412.3715859318163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45814.758244064011</v>
      </c>
      <c r="AB36" s="1">
        <v>0</v>
      </c>
      <c r="AC36" s="1">
        <v>0</v>
      </c>
      <c r="AE36" s="1">
        <f t="shared" si="2"/>
        <v>50227.129829995829</v>
      </c>
    </row>
    <row r="37" spans="1:31" ht="15.75" hidden="1" customHeight="1" outlineLevel="2">
      <c r="A37" t="s">
        <v>95</v>
      </c>
      <c r="B37" s="51" t="s">
        <v>86</v>
      </c>
      <c r="C37" s="21" t="s">
        <v>264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62644.97018640468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E37" s="1">
        <f t="shared" si="2"/>
        <v>62644.97018640468</v>
      </c>
    </row>
    <row r="38" spans="1:31" ht="15.75" hidden="1" customHeight="1" outlineLevel="2">
      <c r="A38" t="s">
        <v>95</v>
      </c>
      <c r="B38" s="51" t="s">
        <v>87</v>
      </c>
      <c r="C38" s="21" t="s">
        <v>265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206433.28841368272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E38" s="1">
        <f t="shared" si="2"/>
        <v>206433.28841368272</v>
      </c>
    </row>
    <row r="39" spans="1:31" ht="15.75" hidden="1" customHeight="1" outlineLevel="2">
      <c r="A39" t="s">
        <v>95</v>
      </c>
      <c r="B39" s="51" t="s">
        <v>88</v>
      </c>
      <c r="C39" s="21" t="s">
        <v>266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677248.49678419658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E39" s="1">
        <f t="shared" si="2"/>
        <v>677248.49678419658</v>
      </c>
    </row>
    <row r="40" spans="1:31" ht="15.75" hidden="1" customHeight="1" outlineLevel="2">
      <c r="A40" t="s">
        <v>95</v>
      </c>
      <c r="B40" s="51" t="s">
        <v>89</v>
      </c>
      <c r="C40" s="21" t="s">
        <v>267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2387.7554571815986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E40" s="1">
        <f t="shared" si="2"/>
        <v>2387.7554571815986</v>
      </c>
    </row>
    <row r="41" spans="1:31" ht="15.75" hidden="1" customHeight="1" outlineLevel="2">
      <c r="A41" t="s">
        <v>95</v>
      </c>
      <c r="B41" s="51" t="s">
        <v>90</v>
      </c>
      <c r="C41" s="21" t="s">
        <v>268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314172.36193912214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47000.862816505381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E41" s="1">
        <f t="shared" si="2"/>
        <v>361173.22475562751</v>
      </c>
    </row>
    <row r="42" spans="1:31" ht="15.75" hidden="1" customHeight="1" outlineLevel="2">
      <c r="A42" t="s">
        <v>95</v>
      </c>
      <c r="B42" s="51" t="s">
        <v>91</v>
      </c>
      <c r="C42" s="21" t="s">
        <v>269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144953.89278376204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E42" s="1">
        <f t="shared" si="2"/>
        <v>144953.89278376204</v>
      </c>
    </row>
    <row r="43" spans="1:31" ht="15.75" hidden="1" customHeight="1" outlineLevel="2">
      <c r="A43" t="s">
        <v>95</v>
      </c>
      <c r="B43" s="51" t="s">
        <v>92</v>
      </c>
      <c r="C43" s="21" t="s">
        <v>270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820063.24295661191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436461.59980801935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E43" s="1">
        <f t="shared" si="2"/>
        <v>1256524.8427646314</v>
      </c>
    </row>
    <row r="44" spans="1:31" ht="15.75" hidden="1" customHeight="1" outlineLevel="2">
      <c r="A44" t="s">
        <v>95</v>
      </c>
      <c r="B44" s="51" t="s">
        <v>93</v>
      </c>
      <c r="C44" s="21" t="s">
        <v>271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108002.97119530539</v>
      </c>
      <c r="Z44" s="1">
        <v>0</v>
      </c>
      <c r="AA44" s="1">
        <v>0</v>
      </c>
      <c r="AB44" s="1">
        <v>0</v>
      </c>
      <c r="AC44" s="1">
        <v>0</v>
      </c>
      <c r="AE44" s="1">
        <f t="shared" si="2"/>
        <v>108002.97119530539</v>
      </c>
    </row>
    <row r="45" spans="1:31" ht="15.75" hidden="1" customHeight="1" outlineLevel="2">
      <c r="A45" t="s">
        <v>95</v>
      </c>
      <c r="B45" s="51" t="s">
        <v>94</v>
      </c>
      <c r="C45" s="21" t="s">
        <v>272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46915.260830479703</v>
      </c>
      <c r="AA45" s="1">
        <v>1262501.8819227768</v>
      </c>
      <c r="AB45" s="1">
        <v>0</v>
      </c>
      <c r="AC45" s="1">
        <v>0</v>
      </c>
      <c r="AE45" s="1">
        <f t="shared" si="2"/>
        <v>1309417.1427532565</v>
      </c>
    </row>
    <row r="46" spans="1:31" ht="15.75" customHeight="1" outlineLevel="1" collapsed="1">
      <c r="A46" t="s">
        <v>228</v>
      </c>
      <c r="B46" s="51"/>
      <c r="C46" s="21" t="s">
        <v>8</v>
      </c>
      <c r="D46" s="1">
        <f t="shared" ref="D46:AC46" si="4">SUBTOTAL(9,D25:D45)</f>
        <v>600.00613423028813</v>
      </c>
      <c r="E46" s="1">
        <f t="shared" si="4"/>
        <v>22173.980269036754</v>
      </c>
      <c r="F46" s="1">
        <f t="shared" si="4"/>
        <v>35856.854510533078</v>
      </c>
      <c r="G46" s="1">
        <f t="shared" si="4"/>
        <v>12691.445674638479</v>
      </c>
      <c r="H46" s="1">
        <f t="shared" si="4"/>
        <v>11111.638853356657</v>
      </c>
      <c r="I46" s="1">
        <f t="shared" si="4"/>
        <v>24317.118889463112</v>
      </c>
      <c r="J46" s="1">
        <f t="shared" si="4"/>
        <v>85977.777405599161</v>
      </c>
      <c r="K46" s="1">
        <f t="shared" si="4"/>
        <v>37822.197986070525</v>
      </c>
      <c r="L46" s="1">
        <f t="shared" si="4"/>
        <v>4412.3715859318163</v>
      </c>
      <c r="M46" s="1">
        <f t="shared" si="4"/>
        <v>40669.291619330761</v>
      </c>
      <c r="N46" s="1">
        <f t="shared" si="4"/>
        <v>1188531.6936868499</v>
      </c>
      <c r="O46" s="1">
        <f t="shared" si="4"/>
        <v>37248.981507759963</v>
      </c>
      <c r="P46" s="1">
        <f t="shared" si="4"/>
        <v>62644.97018640468</v>
      </c>
      <c r="Q46" s="1">
        <f t="shared" si="4"/>
        <v>0</v>
      </c>
      <c r="R46" s="1">
        <f t="shared" si="4"/>
        <v>206433.28841368272</v>
      </c>
      <c r="S46" s="1">
        <f t="shared" si="4"/>
        <v>677248.49678419658</v>
      </c>
      <c r="T46" s="1">
        <f t="shared" si="4"/>
        <v>49388.618273686981</v>
      </c>
      <c r="U46" s="1">
        <f t="shared" si="4"/>
        <v>144953.89278376204</v>
      </c>
      <c r="V46" s="1">
        <f t="shared" si="4"/>
        <v>436461.59980801935</v>
      </c>
      <c r="W46" s="1">
        <f t="shared" si="4"/>
        <v>2604.9850709043076</v>
      </c>
      <c r="X46" s="1">
        <f t="shared" si="4"/>
        <v>0</v>
      </c>
      <c r="Y46" s="1">
        <f t="shared" si="4"/>
        <v>108002.97119530539</v>
      </c>
      <c r="Z46" s="1">
        <f t="shared" si="4"/>
        <v>46915.260830479703</v>
      </c>
      <c r="AA46" s="1">
        <f t="shared" si="4"/>
        <v>1410261.034105808</v>
      </c>
      <c r="AB46" s="1">
        <f t="shared" si="4"/>
        <v>0</v>
      </c>
      <c r="AC46" s="1">
        <f t="shared" si="4"/>
        <v>0</v>
      </c>
      <c r="AE46" s="1">
        <f>SUBTOTAL(9,AE25:AE45)</f>
        <v>4646328.4755750503</v>
      </c>
    </row>
    <row r="47" spans="1:31" s="15" customFormat="1" hidden="1" outlineLevel="2">
      <c r="A47" t="s">
        <v>224</v>
      </c>
      <c r="B47" s="51" t="s">
        <v>225</v>
      </c>
      <c r="C47" s="15" t="s">
        <v>273</v>
      </c>
      <c r="D47" s="5">
        <v>1969039.651908752</v>
      </c>
      <c r="E47" s="5">
        <v>29045.473418558839</v>
      </c>
      <c r="F47" s="5">
        <v>22336.0824773973</v>
      </c>
      <c r="G47" s="5">
        <v>53863.293774489473</v>
      </c>
      <c r="H47" s="5">
        <v>552396.72216794256</v>
      </c>
      <c r="I47" s="5">
        <v>234031.36791637519</v>
      </c>
      <c r="J47" s="5">
        <v>2952207.2694453103</v>
      </c>
      <c r="K47" s="5">
        <v>438812.78415562579</v>
      </c>
      <c r="L47" s="5">
        <v>1375746.4071060086</v>
      </c>
      <c r="M47" s="5">
        <v>307246.09803882294</v>
      </c>
      <c r="N47" s="5">
        <v>2222830.1595384595</v>
      </c>
      <c r="O47" s="5">
        <v>704418.68627293326</v>
      </c>
      <c r="P47" s="5">
        <v>33775.940152422525</v>
      </c>
      <c r="Q47" s="5">
        <v>72662.320572613709</v>
      </c>
      <c r="R47" s="5">
        <v>606477.72958849359</v>
      </c>
      <c r="S47" s="5">
        <v>2295781.2845267095</v>
      </c>
      <c r="T47" s="5">
        <v>31361.735186024925</v>
      </c>
      <c r="U47" s="5">
        <v>437208.59006370622</v>
      </c>
      <c r="V47" s="5">
        <v>718734.88711385452</v>
      </c>
      <c r="W47" s="5">
        <v>399292.20803141355</v>
      </c>
      <c r="X47" s="5">
        <v>18712.023387814152</v>
      </c>
      <c r="Y47" s="5">
        <v>31099.981342604013</v>
      </c>
      <c r="Z47" s="5">
        <v>726775.49381496513</v>
      </c>
      <c r="AA47" s="5">
        <v>78528.23411659307</v>
      </c>
      <c r="AB47" s="5">
        <v>107460.36852906055</v>
      </c>
      <c r="AC47" s="5">
        <v>99725.372219441953</v>
      </c>
      <c r="AD47" s="35"/>
      <c r="AE47" s="1">
        <f t="shared" si="2"/>
        <v>16519570.164866395</v>
      </c>
    </row>
    <row r="48" spans="1:31" s="15" customFormat="1" outlineLevel="1" collapsed="1">
      <c r="A48" t="s">
        <v>229</v>
      </c>
      <c r="B48" s="51"/>
      <c r="C48" s="21" t="s">
        <v>9</v>
      </c>
      <c r="D48" s="5">
        <f t="shared" ref="D48:AC48" si="5">SUBTOTAL(9,D47:D47)</f>
        <v>1969039.651908752</v>
      </c>
      <c r="E48" s="5">
        <f t="shared" si="5"/>
        <v>29045.473418558839</v>
      </c>
      <c r="F48" s="5">
        <f t="shared" si="5"/>
        <v>22336.0824773973</v>
      </c>
      <c r="G48" s="5">
        <f t="shared" si="5"/>
        <v>53863.293774489473</v>
      </c>
      <c r="H48" s="5">
        <f t="shared" si="5"/>
        <v>552396.72216794256</v>
      </c>
      <c r="I48" s="5">
        <f t="shared" si="5"/>
        <v>234031.36791637519</v>
      </c>
      <c r="J48" s="5">
        <f t="shared" si="5"/>
        <v>2952207.2694453103</v>
      </c>
      <c r="K48" s="5">
        <f t="shared" si="5"/>
        <v>438812.78415562579</v>
      </c>
      <c r="L48" s="5">
        <f t="shared" si="5"/>
        <v>1375746.4071060086</v>
      </c>
      <c r="M48" s="5">
        <f t="shared" si="5"/>
        <v>307246.09803882294</v>
      </c>
      <c r="N48" s="5">
        <f t="shared" si="5"/>
        <v>2222830.1595384595</v>
      </c>
      <c r="O48" s="5">
        <f t="shared" si="5"/>
        <v>704418.68627293326</v>
      </c>
      <c r="P48" s="5">
        <f t="shared" si="5"/>
        <v>33775.940152422525</v>
      </c>
      <c r="Q48" s="5">
        <f t="shared" si="5"/>
        <v>72662.320572613709</v>
      </c>
      <c r="R48" s="5">
        <f t="shared" si="5"/>
        <v>606477.72958849359</v>
      </c>
      <c r="S48" s="5">
        <f t="shared" si="5"/>
        <v>2295781.2845267095</v>
      </c>
      <c r="T48" s="5">
        <f t="shared" si="5"/>
        <v>31361.735186024925</v>
      </c>
      <c r="U48" s="5">
        <f t="shared" si="5"/>
        <v>437208.59006370622</v>
      </c>
      <c r="V48" s="5">
        <f t="shared" si="5"/>
        <v>718734.88711385452</v>
      </c>
      <c r="W48" s="5">
        <f t="shared" si="5"/>
        <v>399292.20803141355</v>
      </c>
      <c r="X48" s="5">
        <f t="shared" si="5"/>
        <v>18712.023387814152</v>
      </c>
      <c r="Y48" s="5">
        <f t="shared" si="5"/>
        <v>31099.981342604013</v>
      </c>
      <c r="Z48" s="5">
        <f t="shared" si="5"/>
        <v>726775.49381496513</v>
      </c>
      <c r="AA48" s="5">
        <f t="shared" si="5"/>
        <v>78528.23411659307</v>
      </c>
      <c r="AB48" s="5">
        <f t="shared" si="5"/>
        <v>107460.36852906055</v>
      </c>
      <c r="AC48" s="5">
        <f t="shared" si="5"/>
        <v>99725.372219441953</v>
      </c>
      <c r="AD48" s="35"/>
      <c r="AE48" s="1">
        <f>SUBTOTAL(9,AE47:AE47)</f>
        <v>16519570.164866395</v>
      </c>
    </row>
    <row r="49" spans="1:31" s="15" customFormat="1" hidden="1" outlineLevel="2">
      <c r="A49" t="s">
        <v>157</v>
      </c>
      <c r="B49" s="51" t="s">
        <v>96</v>
      </c>
      <c r="C49" s="21" t="s">
        <v>274</v>
      </c>
      <c r="D49" s="1">
        <v>0</v>
      </c>
      <c r="E49" s="1">
        <v>0</v>
      </c>
      <c r="F49" s="1">
        <v>0</v>
      </c>
      <c r="G49" s="1">
        <v>0</v>
      </c>
      <c r="H49" s="1">
        <v>163270.9139739369</v>
      </c>
      <c r="I49" s="1">
        <v>0</v>
      </c>
      <c r="J49" s="1">
        <v>598019.68688337528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13820.335459744296</v>
      </c>
      <c r="Q49" s="1">
        <v>0</v>
      </c>
      <c r="R49" s="1">
        <v>126843.29903057293</v>
      </c>
      <c r="S49" s="1">
        <v>1066602.4377763662</v>
      </c>
      <c r="T49" s="1">
        <v>0</v>
      </c>
      <c r="U49" s="1">
        <v>0</v>
      </c>
      <c r="V49" s="1">
        <v>0</v>
      </c>
      <c r="W49" s="1">
        <v>31105.882734040544</v>
      </c>
      <c r="X49" s="1">
        <v>0</v>
      </c>
      <c r="Y49" s="1">
        <v>16824.808362994059</v>
      </c>
      <c r="Z49" s="1">
        <v>0</v>
      </c>
      <c r="AA49" s="1">
        <v>0</v>
      </c>
      <c r="AB49" s="1">
        <v>0</v>
      </c>
      <c r="AC49" s="1">
        <v>0</v>
      </c>
      <c r="AD49" s="35"/>
      <c r="AE49" s="1">
        <f t="shared" si="2"/>
        <v>2016487.3642210304</v>
      </c>
    </row>
    <row r="50" spans="1:31" s="15" customFormat="1" hidden="1" outlineLevel="2">
      <c r="A50" t="s">
        <v>157</v>
      </c>
      <c r="B50" s="51" t="s">
        <v>97</v>
      </c>
      <c r="C50" s="21" t="s">
        <v>275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49897.382383650132</v>
      </c>
      <c r="J50" s="1">
        <v>554508.06060691574</v>
      </c>
      <c r="K50" s="1">
        <v>77899.620395107791</v>
      </c>
      <c r="L50" s="1">
        <v>0</v>
      </c>
      <c r="M50" s="1">
        <v>14731.516775111924</v>
      </c>
      <c r="N50" s="1">
        <v>240776.84320204722</v>
      </c>
      <c r="O50" s="1">
        <v>8203.0876804487343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145294.11307873615</v>
      </c>
      <c r="V50" s="1">
        <v>166581.38720216666</v>
      </c>
      <c r="W50" s="1">
        <v>618.29904067435609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35"/>
      <c r="AE50" s="1">
        <f t="shared" si="2"/>
        <v>1258510.3103648589</v>
      </c>
    </row>
    <row r="51" spans="1:31" s="15" customFormat="1" hidden="1" outlineLevel="2">
      <c r="A51" t="s">
        <v>157</v>
      </c>
      <c r="B51" s="51" t="s">
        <v>98</v>
      </c>
      <c r="C51" s="21" t="s">
        <v>276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19663.577978908237</v>
      </c>
      <c r="N51" s="1">
        <v>197311.900460795</v>
      </c>
      <c r="O51" s="1">
        <v>57457.825054342014</v>
      </c>
      <c r="P51" s="1">
        <v>0</v>
      </c>
      <c r="Q51" s="1">
        <v>0</v>
      </c>
      <c r="R51" s="1">
        <v>0</v>
      </c>
      <c r="S51" s="1">
        <v>0</v>
      </c>
      <c r="T51" s="1">
        <v>5489.5959599727939</v>
      </c>
      <c r="U51" s="1">
        <v>0</v>
      </c>
      <c r="V51" s="1">
        <v>19777.660897939328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25512.711261737237</v>
      </c>
      <c r="AC51" s="1">
        <v>0</v>
      </c>
      <c r="AD51" s="35"/>
      <c r="AE51" s="1">
        <f t="shared" si="2"/>
        <v>325213.27161369467</v>
      </c>
    </row>
    <row r="52" spans="1:31" s="15" customFormat="1" hidden="1" outlineLevel="2">
      <c r="A52" t="s">
        <v>157</v>
      </c>
      <c r="B52" s="51" t="s">
        <v>99</v>
      </c>
      <c r="C52" s="21" t="s">
        <v>277</v>
      </c>
      <c r="D52" s="1">
        <v>68147.128387745033</v>
      </c>
      <c r="E52" s="1">
        <v>4739.9708786798628</v>
      </c>
      <c r="F52" s="1">
        <v>3552.0445184873001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220575.80996302771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48698.962889101131</v>
      </c>
      <c r="AA52" s="1">
        <v>-375.38233462381709</v>
      </c>
      <c r="AB52" s="1">
        <v>0</v>
      </c>
      <c r="AC52" s="1">
        <v>0</v>
      </c>
      <c r="AD52" s="35"/>
      <c r="AE52" s="1">
        <f t="shared" si="2"/>
        <v>345338.53430241719</v>
      </c>
    </row>
    <row r="53" spans="1:31" s="15" customFormat="1" hidden="1" outlineLevel="2">
      <c r="A53" t="s">
        <v>157</v>
      </c>
      <c r="B53" s="51" t="s">
        <v>239</v>
      </c>
      <c r="C53" s="21" t="s">
        <v>278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424.47319615612639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35"/>
      <c r="AE53" s="1">
        <f t="shared" si="2"/>
        <v>424.47319615612639</v>
      </c>
    </row>
    <row r="54" spans="1:31" s="15" customFormat="1" hidden="1" outlineLevel="2">
      <c r="A54" t="s">
        <v>157</v>
      </c>
      <c r="B54" s="51" t="s">
        <v>100</v>
      </c>
      <c r="C54" s="21" t="s">
        <v>279</v>
      </c>
      <c r="D54" s="1">
        <v>0</v>
      </c>
      <c r="E54" s="1">
        <v>0</v>
      </c>
      <c r="F54" s="1">
        <v>0</v>
      </c>
      <c r="G54" s="1">
        <v>40285.965423216367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2673.6152080175807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5588.3305535376276</v>
      </c>
      <c r="Y54" s="1">
        <v>0</v>
      </c>
      <c r="Z54" s="1">
        <v>0</v>
      </c>
      <c r="AA54" s="1">
        <v>77.417970130197574</v>
      </c>
      <c r="AB54" s="1">
        <v>0</v>
      </c>
      <c r="AC54" s="1">
        <v>0</v>
      </c>
      <c r="AD54" s="35"/>
      <c r="AE54" s="1">
        <f t="shared" si="2"/>
        <v>48625.329154901774</v>
      </c>
    </row>
    <row r="55" spans="1:31" s="15" customFormat="1" hidden="1" outlineLevel="2">
      <c r="A55" t="s">
        <v>157</v>
      </c>
      <c r="B55" s="51" t="s">
        <v>101</v>
      </c>
      <c r="C55" s="21" t="s">
        <v>280</v>
      </c>
      <c r="D55" s="1">
        <v>0</v>
      </c>
      <c r="E55" s="1">
        <v>0</v>
      </c>
      <c r="F55" s="1">
        <v>0</v>
      </c>
      <c r="G55" s="1">
        <v>0</v>
      </c>
      <c r="H55" s="1">
        <v>11580.980504624926</v>
      </c>
      <c r="I55" s="1">
        <v>3504.7869124153272</v>
      </c>
      <c r="J55" s="1">
        <v>81411.869398560622</v>
      </c>
      <c r="K55" s="1">
        <v>5477.6469524493032</v>
      </c>
      <c r="L55" s="1">
        <v>0</v>
      </c>
      <c r="M55" s="1">
        <v>1270.616781919201</v>
      </c>
      <c r="N55" s="1">
        <v>16930.947918246857</v>
      </c>
      <c r="O55" s="1">
        <v>576.9721099359067</v>
      </c>
      <c r="P55" s="1">
        <v>978.05008298520534</v>
      </c>
      <c r="Q55" s="1">
        <v>0</v>
      </c>
      <c r="R55" s="1">
        <v>8998.7368669828902</v>
      </c>
      <c r="S55" s="1">
        <v>75606.727443633295</v>
      </c>
      <c r="T55" s="1">
        <v>0</v>
      </c>
      <c r="U55" s="1">
        <v>8854.3224671273638</v>
      </c>
      <c r="V55" s="1">
        <v>-99869.970988359564</v>
      </c>
      <c r="W55" s="1">
        <v>2249.7458756718156</v>
      </c>
      <c r="X55" s="1">
        <v>0</v>
      </c>
      <c r="Y55" s="1">
        <v>-8013.5941543574954</v>
      </c>
      <c r="Z55" s="1">
        <v>0</v>
      </c>
      <c r="AA55" s="1">
        <v>0</v>
      </c>
      <c r="AB55" s="1">
        <v>0</v>
      </c>
      <c r="AC55" s="1">
        <v>0</v>
      </c>
      <c r="AD55" s="35"/>
      <c r="AE55" s="1">
        <f t="shared" si="2"/>
        <v>109557.83817183564</v>
      </c>
    </row>
    <row r="56" spans="1:31" s="15" customFormat="1" hidden="1" outlineLevel="2">
      <c r="A56" t="s">
        <v>157</v>
      </c>
      <c r="B56" s="51" t="s">
        <v>102</v>
      </c>
      <c r="C56" s="21" t="s">
        <v>281</v>
      </c>
      <c r="D56" s="1">
        <v>3990.1748935337955</v>
      </c>
      <c r="E56" s="1">
        <v>173.36372096501327</v>
      </c>
      <c r="F56" s="1">
        <v>134.92303055244383</v>
      </c>
      <c r="G56" s="1">
        <v>3089.0081306661491</v>
      </c>
      <c r="H56" s="1">
        <v>0</v>
      </c>
      <c r="I56" s="1">
        <v>0</v>
      </c>
      <c r="J56" s="1">
        <v>0</v>
      </c>
      <c r="K56" s="1">
        <v>0</v>
      </c>
      <c r="L56" s="1">
        <v>8309.7803721795062</v>
      </c>
      <c r="M56" s="1">
        <v>-5081.3907732968537</v>
      </c>
      <c r="N56" s="1">
        <v>6793.3767588373685</v>
      </c>
      <c r="O56" s="1">
        <v>1984.3158097520723</v>
      </c>
      <c r="P56" s="1">
        <v>0</v>
      </c>
      <c r="Q56" s="1">
        <v>204.99756704237907</v>
      </c>
      <c r="R56" s="1">
        <v>0</v>
      </c>
      <c r="S56" s="1">
        <v>0</v>
      </c>
      <c r="T56" s="1">
        <v>189.579002378756</v>
      </c>
      <c r="U56" s="1">
        <v>0</v>
      </c>
      <c r="V56" s="1">
        <v>684.72591190817445</v>
      </c>
      <c r="W56" s="1">
        <v>59.305828918232301</v>
      </c>
      <c r="X56" s="1">
        <v>648.688799675783</v>
      </c>
      <c r="Y56" s="1">
        <v>0</v>
      </c>
      <c r="Z56" s="1">
        <v>1863.9056427621504</v>
      </c>
      <c r="AA56" s="1">
        <v>-8.4353400611883771</v>
      </c>
      <c r="AB56" s="1">
        <v>1581.4556834315499</v>
      </c>
      <c r="AC56" s="1">
        <v>0</v>
      </c>
      <c r="AD56" s="35"/>
      <c r="AE56" s="1">
        <f t="shared" si="2"/>
        <v>24617.775039245331</v>
      </c>
    </row>
    <row r="57" spans="1:31" s="15" customFormat="1" hidden="1" outlineLevel="2">
      <c r="A57" t="s">
        <v>157</v>
      </c>
      <c r="B57" s="51" t="s">
        <v>103</v>
      </c>
      <c r="C57" s="15" t="s">
        <v>282</v>
      </c>
      <c r="D57" s="1">
        <v>63843.656048462472</v>
      </c>
      <c r="E57" s="1">
        <v>2790.5892425015636</v>
      </c>
      <c r="F57" s="1">
        <v>2268.5882907519949</v>
      </c>
      <c r="G57" s="1">
        <v>49478.339003164845</v>
      </c>
      <c r="H57" s="1">
        <v>89831.137734097545</v>
      </c>
      <c r="I57" s="1">
        <v>0</v>
      </c>
      <c r="J57" s="1">
        <v>631761.52290857257</v>
      </c>
      <c r="K57" s="1">
        <v>42492.251266988358</v>
      </c>
      <c r="L57" s="1">
        <v>134298.43333835618</v>
      </c>
      <c r="M57" s="1">
        <v>16842.562876583914</v>
      </c>
      <c r="N57" s="1">
        <v>58490.448952910214</v>
      </c>
      <c r="O57" s="1">
        <v>36262.482467936767</v>
      </c>
      <c r="P57" s="1">
        <v>-20580.551379856672</v>
      </c>
      <c r="Q57" s="1">
        <v>3283.8564414811758</v>
      </c>
      <c r="R57" s="1">
        <v>0</v>
      </c>
      <c r="S57" s="1">
        <v>-13.46</v>
      </c>
      <c r="T57" s="1">
        <v>0</v>
      </c>
      <c r="U57" s="1">
        <v>74879.630384433345</v>
      </c>
      <c r="V57" s="1">
        <v>0</v>
      </c>
      <c r="W57" s="1">
        <v>18424.96602646925</v>
      </c>
      <c r="X57" s="1">
        <v>10422.354589574466</v>
      </c>
      <c r="Y57" s="1">
        <v>-265.80179284071812</v>
      </c>
      <c r="Z57" s="1">
        <v>0</v>
      </c>
      <c r="AA57" s="1">
        <v>303.61522839034672</v>
      </c>
      <c r="AB57" s="1">
        <v>8421.5683552024529</v>
      </c>
      <c r="AC57" s="1">
        <v>0</v>
      </c>
      <c r="AD57" s="35"/>
      <c r="AE57" s="1">
        <f t="shared" si="2"/>
        <v>1223236.1899831803</v>
      </c>
    </row>
    <row r="58" spans="1:31" s="15" customFormat="1" hidden="1" outlineLevel="2">
      <c r="A58" t="s">
        <v>157</v>
      </c>
      <c r="B58" s="51" t="s">
        <v>104</v>
      </c>
      <c r="C58" s="15" t="s">
        <v>283</v>
      </c>
      <c r="D58" s="1">
        <v>0</v>
      </c>
      <c r="E58" s="1">
        <v>0</v>
      </c>
      <c r="F58" s="1">
        <v>0</v>
      </c>
      <c r="G58" s="1">
        <v>18995.285487044537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35"/>
      <c r="AE58" s="1">
        <f t="shared" si="2"/>
        <v>18995.285487044537</v>
      </c>
    </row>
    <row r="59" spans="1:31" s="15" customFormat="1" hidden="1" outlineLevel="2">
      <c r="A59" t="s">
        <v>157</v>
      </c>
      <c r="B59" s="51" t="s">
        <v>105</v>
      </c>
      <c r="C59" s="21" t="s">
        <v>284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10254.799092746078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227074.08819810377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35"/>
      <c r="AE59" s="1">
        <f t="shared" si="2"/>
        <v>237328.88729084985</v>
      </c>
    </row>
    <row r="60" spans="1:31" s="15" customFormat="1" hidden="1" outlineLevel="2">
      <c r="A60" t="s">
        <v>157</v>
      </c>
      <c r="B60" s="51" t="s">
        <v>106</v>
      </c>
      <c r="C60" s="15" t="s">
        <v>285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487618.82261451252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35"/>
      <c r="AE60" s="1">
        <f t="shared" si="2"/>
        <v>487618.82261451252</v>
      </c>
    </row>
    <row r="61" spans="1:31" s="15" customFormat="1" hidden="1" outlineLevel="2">
      <c r="A61" t="s">
        <v>157</v>
      </c>
      <c r="B61" s="51" t="s">
        <v>107</v>
      </c>
      <c r="C61" s="15" t="s">
        <v>286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2843.9701324609723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35"/>
      <c r="AE61" s="1">
        <f t="shared" si="2"/>
        <v>2843.9701324609723</v>
      </c>
    </row>
    <row r="62" spans="1:31" s="15" customFormat="1" hidden="1" outlineLevel="2">
      <c r="A62" t="s">
        <v>157</v>
      </c>
      <c r="B62" s="51" t="s">
        <v>108</v>
      </c>
      <c r="C62" s="21" t="s">
        <v>287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6261863.4496230418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35"/>
      <c r="AE62" s="1">
        <f t="shared" si="2"/>
        <v>6261863.4496230418</v>
      </c>
    </row>
    <row r="63" spans="1:31" s="15" customFormat="1" hidden="1" outlineLevel="2">
      <c r="A63" t="s">
        <v>157</v>
      </c>
      <c r="B63" s="51" t="s">
        <v>109</v>
      </c>
      <c r="C63" s="21" t="s">
        <v>288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1.0208662365840075</v>
      </c>
      <c r="AA63" s="1">
        <v>143642.60980595218</v>
      </c>
      <c r="AB63" s="1">
        <v>0</v>
      </c>
      <c r="AC63" s="1">
        <v>0</v>
      </c>
      <c r="AD63" s="35"/>
      <c r="AE63" s="1">
        <f t="shared" si="2"/>
        <v>143643.63067218877</v>
      </c>
    </row>
    <row r="64" spans="1:31" s="15" customFormat="1" hidden="1" outlineLevel="2">
      <c r="A64" t="s">
        <v>157</v>
      </c>
      <c r="B64" s="51" t="s">
        <v>110</v>
      </c>
      <c r="C64" s="21" t="s">
        <v>289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-64785.2</v>
      </c>
      <c r="AB64" s="1">
        <v>0</v>
      </c>
      <c r="AC64" s="1">
        <v>0</v>
      </c>
      <c r="AD64" s="35"/>
      <c r="AE64" s="1">
        <f t="shared" si="2"/>
        <v>-64785.2</v>
      </c>
    </row>
    <row r="65" spans="1:31" s="15" customFormat="1" hidden="1" outlineLevel="2">
      <c r="A65" t="s">
        <v>157</v>
      </c>
      <c r="B65" s="51"/>
      <c r="C65" s="21" t="s">
        <v>111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-744.24</v>
      </c>
      <c r="AB65" s="1">
        <v>0</v>
      </c>
      <c r="AC65" s="1">
        <v>0</v>
      </c>
      <c r="AD65" s="35"/>
      <c r="AE65" s="1">
        <f t="shared" si="2"/>
        <v>-744.24</v>
      </c>
    </row>
    <row r="66" spans="1:31" s="15" customFormat="1" hidden="1" outlineLevel="2">
      <c r="A66" t="s">
        <v>157</v>
      </c>
      <c r="B66" s="51"/>
      <c r="C66" s="21" t="s">
        <v>112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-666.15</v>
      </c>
      <c r="AB66" s="1">
        <v>0</v>
      </c>
      <c r="AC66" s="1">
        <v>0</v>
      </c>
      <c r="AD66" s="35"/>
      <c r="AE66" s="1">
        <f t="shared" si="2"/>
        <v>-666.15</v>
      </c>
    </row>
    <row r="67" spans="1:31" s="15" customFormat="1" hidden="1" outlineLevel="2">
      <c r="A67" t="s">
        <v>157</v>
      </c>
      <c r="B67" s="51"/>
      <c r="C67" s="21" t="s">
        <v>113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-49.43</v>
      </c>
      <c r="AB67" s="1">
        <v>0</v>
      </c>
      <c r="AC67" s="1">
        <v>0</v>
      </c>
      <c r="AD67" s="35"/>
      <c r="AE67" s="1">
        <f t="shared" si="2"/>
        <v>-49.43</v>
      </c>
    </row>
    <row r="68" spans="1:31" s="15" customFormat="1" hidden="1" outlineLevel="2">
      <c r="A68" t="s">
        <v>157</v>
      </c>
      <c r="B68" s="51" t="s">
        <v>114</v>
      </c>
      <c r="C68" s="21" t="s">
        <v>290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3101.9254245095062</v>
      </c>
      <c r="AA68" s="1">
        <v>-676.71</v>
      </c>
      <c r="AB68" s="1">
        <v>0</v>
      </c>
      <c r="AC68" s="1">
        <v>0</v>
      </c>
      <c r="AD68" s="35"/>
      <c r="AE68" s="1">
        <f t="shared" si="2"/>
        <v>2425.2154245095062</v>
      </c>
    </row>
    <row r="69" spans="1:31" s="15" customFormat="1" hidden="1" outlineLevel="2">
      <c r="A69" t="s">
        <v>157</v>
      </c>
      <c r="B69" s="51"/>
      <c r="C69" s="21" t="s">
        <v>115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-11931.35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-2148.0147113269322</v>
      </c>
      <c r="Z69" s="1">
        <v>0</v>
      </c>
      <c r="AA69" s="1">
        <v>-13.4</v>
      </c>
      <c r="AB69" s="1">
        <v>0</v>
      </c>
      <c r="AC69" s="1">
        <v>0</v>
      </c>
      <c r="AD69" s="35"/>
      <c r="AE69" s="1">
        <f t="shared" si="2"/>
        <v>-14092.764711326932</v>
      </c>
    </row>
    <row r="70" spans="1:31" s="15" customFormat="1" hidden="1" outlineLevel="2">
      <c r="A70" t="s">
        <v>157</v>
      </c>
      <c r="B70" s="51"/>
      <c r="C70" s="21" t="s">
        <v>116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-8.35</v>
      </c>
      <c r="AB70" s="1">
        <v>0</v>
      </c>
      <c r="AC70" s="1">
        <v>0</v>
      </c>
      <c r="AD70" s="35"/>
      <c r="AE70" s="1">
        <f t="shared" si="2"/>
        <v>-8.35</v>
      </c>
    </row>
    <row r="71" spans="1:31" s="15" customFormat="1" hidden="1" outlineLevel="2">
      <c r="A71" t="s">
        <v>157</v>
      </c>
      <c r="B71" s="51" t="s">
        <v>117</v>
      </c>
      <c r="C71" s="21" t="s">
        <v>291</v>
      </c>
      <c r="D71" s="1">
        <v>0</v>
      </c>
      <c r="E71" s="1">
        <v>0</v>
      </c>
      <c r="F71" s="1">
        <v>5916.5380592325473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35"/>
      <c r="AE71" s="1">
        <f t="shared" si="2"/>
        <v>5916.5380592325473</v>
      </c>
    </row>
    <row r="72" spans="1:31" s="15" customFormat="1" hidden="1" outlineLevel="2">
      <c r="A72" t="s">
        <v>157</v>
      </c>
      <c r="B72" s="51" t="s">
        <v>118</v>
      </c>
      <c r="C72" s="21" t="s">
        <v>292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-0.46</v>
      </c>
      <c r="AB72" s="1">
        <v>0</v>
      </c>
      <c r="AC72" s="1">
        <v>0</v>
      </c>
      <c r="AD72" s="35"/>
      <c r="AE72" s="1">
        <f t="shared" si="2"/>
        <v>-0.46</v>
      </c>
    </row>
    <row r="73" spans="1:31" s="15" customFormat="1" hidden="1" outlineLevel="2">
      <c r="A73" t="s">
        <v>157</v>
      </c>
      <c r="B73" s="51" t="s">
        <v>119</v>
      </c>
      <c r="C73" s="21" t="s">
        <v>293</v>
      </c>
      <c r="D73" s="1">
        <v>4836.0156712609996</v>
      </c>
      <c r="E73" s="1">
        <v>2035.0919026876891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116126.98964088688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2948.7675452058415</v>
      </c>
      <c r="AA73" s="1">
        <v>-96.623783023432054</v>
      </c>
      <c r="AB73" s="1">
        <v>0</v>
      </c>
      <c r="AC73" s="1">
        <v>0</v>
      </c>
      <c r="AD73" s="35"/>
      <c r="AE73" s="1">
        <f t="shared" si="2"/>
        <v>125850.24097701798</v>
      </c>
    </row>
    <row r="74" spans="1:31" s="15" customFormat="1" hidden="1" outlineLevel="2">
      <c r="A74" t="s">
        <v>157</v>
      </c>
      <c r="B74" s="51" t="s">
        <v>120</v>
      </c>
      <c r="C74" s="21" t="s">
        <v>294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-72.2</v>
      </c>
      <c r="AB74" s="1">
        <v>0</v>
      </c>
      <c r="AC74" s="1">
        <v>0</v>
      </c>
      <c r="AD74" s="35"/>
      <c r="AE74" s="1">
        <f t="shared" si="2"/>
        <v>-72.2</v>
      </c>
    </row>
    <row r="75" spans="1:31" s="15" customFormat="1" hidden="1" outlineLevel="2">
      <c r="A75" t="s">
        <v>157</v>
      </c>
      <c r="B75" s="51"/>
      <c r="C75" s="21" t="s">
        <v>121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-48864.92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-132.66</v>
      </c>
      <c r="X75" s="1">
        <v>0</v>
      </c>
      <c r="Y75" s="1">
        <v>-492.65066429655894</v>
      </c>
      <c r="Z75" s="1">
        <v>0</v>
      </c>
      <c r="AA75" s="1">
        <v>-21.68</v>
      </c>
      <c r="AB75" s="1">
        <v>0</v>
      </c>
      <c r="AC75" s="1">
        <v>0</v>
      </c>
      <c r="AD75" s="35"/>
      <c r="AE75" s="1">
        <f t="shared" si="2"/>
        <v>-49511.910664296563</v>
      </c>
    </row>
    <row r="76" spans="1:31" s="15" customFormat="1" hidden="1" outlineLevel="2">
      <c r="A76" t="s">
        <v>157</v>
      </c>
      <c r="B76" s="51" t="s">
        <v>240</v>
      </c>
      <c r="C76" s="21" t="s">
        <v>295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622.45009804332358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35"/>
      <c r="AE76" s="1">
        <f t="shared" si="2"/>
        <v>622.45009804332358</v>
      </c>
    </row>
    <row r="77" spans="1:31" s="15" customFormat="1" hidden="1" outlineLevel="2">
      <c r="A77" t="s">
        <v>157</v>
      </c>
      <c r="B77" s="51" t="s">
        <v>122</v>
      </c>
      <c r="C77" s="21" t="s">
        <v>296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7694.1220766352953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5619.9032076360691</v>
      </c>
      <c r="X77" s="1">
        <v>0</v>
      </c>
      <c r="Y77" s="1">
        <v>-51.507291433989842</v>
      </c>
      <c r="Z77" s="1">
        <v>0</v>
      </c>
      <c r="AA77" s="1">
        <v>0</v>
      </c>
      <c r="AB77" s="1">
        <v>0</v>
      </c>
      <c r="AC77" s="1">
        <v>0</v>
      </c>
      <c r="AD77" s="35"/>
      <c r="AE77" s="1">
        <f t="shared" si="2"/>
        <v>13262.517992837375</v>
      </c>
    </row>
    <row r="78" spans="1:31" s="15" customFormat="1" hidden="1" outlineLevel="2">
      <c r="A78" t="s">
        <v>157</v>
      </c>
      <c r="B78" s="51" t="s">
        <v>123</v>
      </c>
      <c r="C78" s="15" t="s">
        <v>297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368826.76091400272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-140.22</v>
      </c>
      <c r="X78" s="1">
        <v>0</v>
      </c>
      <c r="Y78" s="1">
        <v>0</v>
      </c>
      <c r="Z78" s="1">
        <v>0</v>
      </c>
      <c r="AA78" s="1">
        <v>-1114.8900000000001</v>
      </c>
      <c r="AB78" s="1">
        <v>0</v>
      </c>
      <c r="AC78" s="1">
        <v>0</v>
      </c>
      <c r="AD78" s="35"/>
      <c r="AE78" s="1">
        <f t="shared" si="2"/>
        <v>367571.65091400273</v>
      </c>
    </row>
    <row r="79" spans="1:31" s="15" customFormat="1" hidden="1" outlineLevel="2">
      <c r="A79" t="s">
        <v>157</v>
      </c>
      <c r="B79" s="51" t="s">
        <v>241</v>
      </c>
      <c r="C79" s="15" t="s">
        <v>298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13589.34761340315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35"/>
      <c r="AE79" s="1">
        <f t="shared" si="2"/>
        <v>13589.34761340315</v>
      </c>
    </row>
    <row r="80" spans="1:31" s="15" customFormat="1" hidden="1" outlineLevel="2">
      <c r="A80" t="s">
        <v>157</v>
      </c>
      <c r="B80" s="51" t="s">
        <v>124</v>
      </c>
      <c r="C80" s="15" t="s">
        <v>299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587.12561886783317</v>
      </c>
      <c r="AB80" s="1">
        <v>0</v>
      </c>
      <c r="AC80" s="1">
        <v>0</v>
      </c>
      <c r="AD80" s="35"/>
      <c r="AE80" s="1">
        <f t="shared" si="2"/>
        <v>587.12561886783317</v>
      </c>
    </row>
    <row r="81" spans="1:31" s="15" customFormat="1" hidden="1" outlineLevel="2">
      <c r="A81" t="s">
        <v>157</v>
      </c>
      <c r="B81" s="51" t="s">
        <v>125</v>
      </c>
      <c r="C81" s="15" t="s">
        <v>300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-10788.143286416329</v>
      </c>
      <c r="AD81" s="35"/>
      <c r="AE81" s="1">
        <f t="shared" si="2"/>
        <v>-10788.143286416329</v>
      </c>
    </row>
    <row r="82" spans="1:31" s="15" customFormat="1" hidden="1" outlineLevel="2">
      <c r="A82" t="s">
        <v>157</v>
      </c>
      <c r="B82" s="51" t="s">
        <v>126</v>
      </c>
      <c r="C82" s="21" t="s">
        <v>301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96861.406170062532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  <c r="W82" s="1">
        <v>1805.2385370595846</v>
      </c>
      <c r="X82" s="1">
        <v>0</v>
      </c>
      <c r="Y82" s="1">
        <v>0</v>
      </c>
      <c r="Z82" s="1">
        <v>0</v>
      </c>
      <c r="AA82" s="1">
        <v>842.41208192558952</v>
      </c>
      <c r="AB82" s="1">
        <v>0</v>
      </c>
      <c r="AC82" s="1">
        <v>0</v>
      </c>
      <c r="AD82" s="35"/>
      <c r="AE82" s="1">
        <f t="shared" si="2"/>
        <v>99509.05678904771</v>
      </c>
    </row>
    <row r="83" spans="1:31" s="15" customFormat="1" hidden="1" outlineLevel="2">
      <c r="A83" t="s">
        <v>157</v>
      </c>
      <c r="B83" s="51"/>
      <c r="C83" s="21" t="s">
        <v>242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-478.56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35"/>
      <c r="AE83" s="1">
        <f t="shared" si="2"/>
        <v>-478.56</v>
      </c>
    </row>
    <row r="84" spans="1:31" s="15" customFormat="1" hidden="1" outlineLevel="2">
      <c r="A84" t="s">
        <v>157</v>
      </c>
      <c r="B84" s="51"/>
      <c r="C84" s="21" t="s">
        <v>243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-366.45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35"/>
      <c r="AE84" s="1">
        <f t="shared" si="2"/>
        <v>-366.45</v>
      </c>
    </row>
    <row r="85" spans="1:31" s="15" customFormat="1" hidden="1" outlineLevel="2">
      <c r="A85" t="s">
        <v>157</v>
      </c>
      <c r="B85" s="51"/>
      <c r="C85" s="21" t="s">
        <v>127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-103.27110131334825</v>
      </c>
      <c r="Z85" s="1">
        <v>0</v>
      </c>
      <c r="AA85" s="1">
        <v>0</v>
      </c>
      <c r="AB85" s="1">
        <v>0</v>
      </c>
      <c r="AC85" s="1">
        <v>0</v>
      </c>
      <c r="AD85" s="35"/>
      <c r="AE85" s="1">
        <f t="shared" si="2"/>
        <v>-103.27110131334825</v>
      </c>
    </row>
    <row r="86" spans="1:31" s="15" customFormat="1" hidden="1" outlineLevel="2">
      <c r="A86" t="s">
        <v>157</v>
      </c>
      <c r="B86" s="51" t="s">
        <v>128</v>
      </c>
      <c r="C86" s="21" t="s">
        <v>302</v>
      </c>
      <c r="D86" s="1">
        <v>0</v>
      </c>
      <c r="E86" s="1">
        <v>0</v>
      </c>
      <c r="F86" s="1">
        <v>0</v>
      </c>
      <c r="G86" s="1">
        <v>4141.8961049864774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35"/>
      <c r="AE86" s="1">
        <f t="shared" si="2"/>
        <v>4141.8961049864774</v>
      </c>
    </row>
    <row r="87" spans="1:31" s="15" customFormat="1" hidden="1" outlineLevel="2">
      <c r="A87" t="s">
        <v>157</v>
      </c>
      <c r="B87" s="51" t="s">
        <v>129</v>
      </c>
      <c r="C87" s="21" t="s">
        <v>303</v>
      </c>
      <c r="D87" s="1">
        <v>0</v>
      </c>
      <c r="E87" s="1">
        <v>0</v>
      </c>
      <c r="F87" s="1">
        <v>938.29095453958496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35"/>
      <c r="AE87" s="1">
        <f t="shared" si="2"/>
        <v>938.29095453958496</v>
      </c>
    </row>
    <row r="88" spans="1:31" s="15" customFormat="1" hidden="1" outlineLevel="2">
      <c r="A88" t="s">
        <v>157</v>
      </c>
      <c r="B88" s="51" t="s">
        <v>130</v>
      </c>
      <c r="C88" s="21" t="s">
        <v>304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0</v>
      </c>
      <c r="W88" s="1">
        <v>0</v>
      </c>
      <c r="X88" s="1">
        <v>12980.031111832906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35"/>
      <c r="AE88" s="1">
        <f t="shared" si="2"/>
        <v>12980.031111832906</v>
      </c>
    </row>
    <row r="89" spans="1:31" s="15" customFormat="1" hidden="1" outlineLevel="2">
      <c r="A89" t="s">
        <v>157</v>
      </c>
      <c r="B89" s="51" t="s">
        <v>131</v>
      </c>
      <c r="C89" s="21" t="s">
        <v>305</v>
      </c>
      <c r="D89" s="1">
        <v>0</v>
      </c>
      <c r="E89" s="1">
        <v>0</v>
      </c>
      <c r="F89" s="1">
        <v>44334.177713523473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35"/>
      <c r="AE89" s="1">
        <f t="shared" si="2"/>
        <v>44334.177713523473</v>
      </c>
    </row>
    <row r="90" spans="1:31" s="15" customFormat="1" hidden="1" outlineLevel="2">
      <c r="A90" t="s">
        <v>157</v>
      </c>
      <c r="B90" s="51" t="s">
        <v>132</v>
      </c>
      <c r="C90" s="21" t="s">
        <v>306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319033.67167685053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15613.546212795449</v>
      </c>
      <c r="AB90" s="1">
        <v>0</v>
      </c>
      <c r="AC90" s="1">
        <v>0</v>
      </c>
      <c r="AD90" s="35"/>
      <c r="AE90" s="1">
        <f t="shared" si="2"/>
        <v>334647.21788964595</v>
      </c>
    </row>
    <row r="91" spans="1:31" s="15" customFormat="1" hidden="1" outlineLevel="2">
      <c r="A91" t="s">
        <v>157</v>
      </c>
      <c r="B91" s="51"/>
      <c r="C91" s="21" t="s">
        <v>133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-10.82</v>
      </c>
      <c r="S91" s="1">
        <v>0</v>
      </c>
      <c r="T91" s="1">
        <v>0</v>
      </c>
      <c r="U91" s="1">
        <v>0</v>
      </c>
      <c r="V91" s="1">
        <v>0</v>
      </c>
      <c r="W91" s="1">
        <v>-0.99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35"/>
      <c r="AE91" s="1">
        <f t="shared" si="2"/>
        <v>-11.81</v>
      </c>
    </row>
    <row r="92" spans="1:31" s="15" customFormat="1" hidden="1" outlineLevel="2">
      <c r="A92" t="s">
        <v>157</v>
      </c>
      <c r="B92" s="51" t="s">
        <v>134</v>
      </c>
      <c r="C92" s="15" t="s">
        <v>307</v>
      </c>
      <c r="D92" s="1">
        <v>0</v>
      </c>
      <c r="E92" s="1">
        <v>0</v>
      </c>
      <c r="F92" s="1">
        <v>0</v>
      </c>
      <c r="G92" s="1">
        <v>2726.3210035766615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35"/>
      <c r="AE92" s="1">
        <f t="shared" si="2"/>
        <v>2726.3210035766615</v>
      </c>
    </row>
    <row r="93" spans="1:31" s="15" customFormat="1" hidden="1" outlineLevel="2">
      <c r="A93" t="s">
        <v>157</v>
      </c>
      <c r="B93" s="51" t="s">
        <v>244</v>
      </c>
      <c r="C93" s="15" t="s">
        <v>308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4907.9992663721587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35"/>
      <c r="AE93" s="1">
        <f t="shared" si="2"/>
        <v>4907.9992663721587</v>
      </c>
    </row>
    <row r="94" spans="1:31" s="15" customFormat="1" hidden="1" outlineLevel="2">
      <c r="A94" t="s">
        <v>157</v>
      </c>
      <c r="B94" s="51" t="s">
        <v>135</v>
      </c>
      <c r="C94" s="21" t="s">
        <v>309</v>
      </c>
      <c r="D94" s="1">
        <v>0</v>
      </c>
      <c r="E94" s="1">
        <v>18592.782917227723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232178.93887063718</v>
      </c>
      <c r="AB94" s="1">
        <v>0</v>
      </c>
      <c r="AC94" s="1">
        <v>0</v>
      </c>
      <c r="AD94" s="35"/>
      <c r="AE94" s="1">
        <f t="shared" si="2"/>
        <v>250771.7217878649</v>
      </c>
    </row>
    <row r="95" spans="1:31" s="15" customFormat="1" hidden="1" outlineLevel="2">
      <c r="A95" t="s">
        <v>157</v>
      </c>
      <c r="B95" s="51" t="s">
        <v>136</v>
      </c>
      <c r="C95" s="21" t="s">
        <v>310</v>
      </c>
      <c r="D95" s="1">
        <v>0</v>
      </c>
      <c r="E95" s="1">
        <v>0</v>
      </c>
      <c r="F95" s="1">
        <v>0</v>
      </c>
      <c r="G95" s="1">
        <v>0</v>
      </c>
      <c r="H95" s="1">
        <v>2353.8732251545962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35"/>
      <c r="AE95" s="1">
        <f t="shared" si="2"/>
        <v>2353.8732251545962</v>
      </c>
    </row>
    <row r="96" spans="1:31" s="15" customFormat="1" hidden="1" outlineLevel="2">
      <c r="A96" t="s">
        <v>157</v>
      </c>
      <c r="B96" s="51" t="s">
        <v>137</v>
      </c>
      <c r="C96" s="21" t="s">
        <v>311</v>
      </c>
      <c r="D96" s="1">
        <v>0</v>
      </c>
      <c r="E96" s="1">
        <v>0</v>
      </c>
      <c r="F96" s="1">
        <v>0</v>
      </c>
      <c r="G96" s="1">
        <v>0</v>
      </c>
      <c r="H96" s="1">
        <v>4320.3825937895053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35"/>
      <c r="AE96" s="1">
        <f t="shared" si="2"/>
        <v>4320.3825937895053</v>
      </c>
    </row>
    <row r="97" spans="1:31" s="15" customFormat="1" hidden="1" outlineLevel="2">
      <c r="A97" t="s">
        <v>157</v>
      </c>
      <c r="B97" s="51" t="s">
        <v>138</v>
      </c>
      <c r="C97" s="21" t="s">
        <v>312</v>
      </c>
      <c r="D97" s="1">
        <v>0</v>
      </c>
      <c r="E97" s="1">
        <v>0</v>
      </c>
      <c r="F97" s="1">
        <v>0</v>
      </c>
      <c r="G97" s="1">
        <v>68026.232667305871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35"/>
      <c r="AE97" s="1">
        <f t="shared" si="2"/>
        <v>68026.232667305871</v>
      </c>
    </row>
    <row r="98" spans="1:31" s="15" customFormat="1" hidden="1" outlineLevel="2">
      <c r="A98" t="s">
        <v>157</v>
      </c>
      <c r="B98" s="51" t="s">
        <v>139</v>
      </c>
      <c r="C98" s="21" t="s">
        <v>313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0</v>
      </c>
      <c r="W98" s="1">
        <v>0</v>
      </c>
      <c r="X98" s="1">
        <v>13228.842920987523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35"/>
      <c r="AE98" s="1">
        <f t="shared" si="2"/>
        <v>13228.842920987523</v>
      </c>
    </row>
    <row r="99" spans="1:31" s="15" customFormat="1" hidden="1" outlineLevel="2">
      <c r="A99" t="s">
        <v>157</v>
      </c>
      <c r="B99" s="51" t="s">
        <v>245</v>
      </c>
      <c r="C99" s="21" t="s">
        <v>314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v>0</v>
      </c>
      <c r="W99" s="1">
        <v>1269.3090530863101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35"/>
      <c r="AE99" s="1">
        <f t="shared" si="2"/>
        <v>1269.3090530863101</v>
      </c>
    </row>
    <row r="100" spans="1:31" s="15" customFormat="1" hidden="1" outlineLevel="2">
      <c r="A100" t="s">
        <v>157</v>
      </c>
      <c r="B100" s="51" t="s">
        <v>140</v>
      </c>
      <c r="C100" s="21" t="s">
        <v>315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163.21186421498632</v>
      </c>
      <c r="J100" s="1">
        <v>0</v>
      </c>
      <c r="K100" s="1">
        <v>4135.6610260289362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122.61765128908741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35"/>
      <c r="AE100" s="1">
        <f t="shared" si="2"/>
        <v>4421.4905415330095</v>
      </c>
    </row>
    <row r="101" spans="1:31" s="15" customFormat="1" hidden="1" outlineLevel="2">
      <c r="A101" t="s">
        <v>157</v>
      </c>
      <c r="B101" s="51" t="s">
        <v>141</v>
      </c>
      <c r="C101" s="21" t="s">
        <v>316</v>
      </c>
      <c r="D101" s="1">
        <v>20.496771190419675</v>
      </c>
      <c r="E101" s="1">
        <v>392.48546880052027</v>
      </c>
      <c r="F101" s="1">
        <v>86.04721524183222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182.89742131699427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0</v>
      </c>
      <c r="W101" s="1">
        <v>39.193109074595284</v>
      </c>
      <c r="X101" s="1">
        <v>93.441964763216021</v>
      </c>
      <c r="Y101" s="1">
        <v>0</v>
      </c>
      <c r="Z101" s="1">
        <v>172.74155516556556</v>
      </c>
      <c r="AA101" s="1">
        <v>7119.6226541412034</v>
      </c>
      <c r="AB101" s="1">
        <v>0</v>
      </c>
      <c r="AC101" s="1">
        <v>0</v>
      </c>
      <c r="AD101" s="35"/>
      <c r="AE101" s="1">
        <f t="shared" si="2"/>
        <v>8106.926159694347</v>
      </c>
    </row>
    <row r="102" spans="1:31" s="15" customFormat="1" hidden="1" outlineLevel="2">
      <c r="A102" t="s">
        <v>157</v>
      </c>
      <c r="B102" s="51" t="s">
        <v>142</v>
      </c>
      <c r="C102" s="21" t="s">
        <v>317</v>
      </c>
      <c r="D102" s="1">
        <v>0</v>
      </c>
      <c r="E102" s="1">
        <v>0</v>
      </c>
      <c r="F102" s="1">
        <v>0</v>
      </c>
      <c r="G102" s="1">
        <v>187.27497106986726</v>
      </c>
      <c r="H102" s="1">
        <v>199.59972943340071</v>
      </c>
      <c r="I102" s="1">
        <v>7.6246926359049034</v>
      </c>
      <c r="J102" s="1">
        <v>46071.580698691265</v>
      </c>
      <c r="K102" s="1">
        <v>0</v>
      </c>
      <c r="L102" s="1">
        <v>0</v>
      </c>
      <c r="M102" s="1">
        <v>1153.1965615094982</v>
      </c>
      <c r="N102" s="1">
        <v>0</v>
      </c>
      <c r="O102" s="1">
        <v>650.50553884461533</v>
      </c>
      <c r="P102" s="1">
        <v>670.39942016630073</v>
      </c>
      <c r="Q102" s="1">
        <v>0</v>
      </c>
      <c r="R102" s="1">
        <v>5768.5610168786961</v>
      </c>
      <c r="S102" s="1">
        <v>6893.9410309814421</v>
      </c>
      <c r="T102" s="1">
        <v>258.84877454269628</v>
      </c>
      <c r="U102" s="1">
        <v>2755.791714658762</v>
      </c>
      <c r="V102" s="1">
        <v>3724.4121420382498</v>
      </c>
      <c r="W102" s="1">
        <v>2320.9734548387064</v>
      </c>
      <c r="X102" s="1">
        <v>0</v>
      </c>
      <c r="Y102" s="1">
        <v>-3538.4305142943977</v>
      </c>
      <c r="Z102" s="1">
        <v>0</v>
      </c>
      <c r="AA102" s="1">
        <v>0</v>
      </c>
      <c r="AB102" s="1">
        <v>0</v>
      </c>
      <c r="AC102" s="1">
        <v>0</v>
      </c>
      <c r="AD102" s="35"/>
      <c r="AE102" s="1">
        <f t="shared" si="2"/>
        <v>67124.279231995009</v>
      </c>
    </row>
    <row r="103" spans="1:31" s="15" customFormat="1" hidden="1" outlineLevel="2">
      <c r="A103" t="s">
        <v>157</v>
      </c>
      <c r="B103" s="51" t="s">
        <v>143</v>
      </c>
      <c r="C103" s="21" t="s">
        <v>318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1017.2297531529547</v>
      </c>
      <c r="N103" s="1">
        <v>5828.7190268863797</v>
      </c>
      <c r="O103" s="1">
        <v>550.84804807352543</v>
      </c>
      <c r="P103" s="1">
        <v>0</v>
      </c>
      <c r="Q103" s="1">
        <v>0</v>
      </c>
      <c r="R103" s="1">
        <v>0</v>
      </c>
      <c r="S103" s="1">
        <v>0</v>
      </c>
      <c r="T103" s="1">
        <v>228.3355652567069</v>
      </c>
      <c r="U103" s="1">
        <v>0</v>
      </c>
      <c r="V103" s="1">
        <v>1625.5260188212299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35"/>
      <c r="AE103" s="1">
        <f t="shared" si="2"/>
        <v>9250.6584121907963</v>
      </c>
    </row>
    <row r="104" spans="1:31" s="15" customFormat="1" hidden="1" outlineLevel="2">
      <c r="A104" t="s">
        <v>157</v>
      </c>
      <c r="B104" s="51" t="s">
        <v>144</v>
      </c>
      <c r="C104" s="21" t="s">
        <v>319</v>
      </c>
      <c r="D104" s="1">
        <v>0</v>
      </c>
      <c r="E104" s="1">
        <v>0</v>
      </c>
      <c r="F104" s="1">
        <v>0</v>
      </c>
      <c r="G104" s="1">
        <v>0</v>
      </c>
      <c r="H104" s="1">
        <v>1178.8655006398446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3957.1077067528072</v>
      </c>
      <c r="Q104" s="1">
        <v>0</v>
      </c>
      <c r="R104" s="1">
        <v>12802.691992420378</v>
      </c>
      <c r="S104" s="1">
        <v>32745.992738944857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320.67396857025074</v>
      </c>
      <c r="Z104" s="1">
        <v>0</v>
      </c>
      <c r="AA104" s="1">
        <v>0</v>
      </c>
      <c r="AB104" s="1">
        <v>0</v>
      </c>
      <c r="AC104" s="1">
        <v>0</v>
      </c>
      <c r="AD104" s="35"/>
      <c r="AE104" s="1">
        <f t="shared" si="2"/>
        <v>51005.331907328131</v>
      </c>
    </row>
    <row r="105" spans="1:31" s="15" customFormat="1" hidden="1" outlineLevel="2">
      <c r="A105" t="s">
        <v>157</v>
      </c>
      <c r="B105" s="51" t="s">
        <v>145</v>
      </c>
      <c r="C105" s="21" t="s">
        <v>320</v>
      </c>
      <c r="D105" s="1">
        <v>0</v>
      </c>
      <c r="E105" s="1">
        <v>0</v>
      </c>
      <c r="F105" s="1">
        <v>0</v>
      </c>
      <c r="G105" s="1">
        <v>40973.280598061428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35"/>
      <c r="AE105" s="1">
        <f t="shared" si="2"/>
        <v>40973.280598061428</v>
      </c>
    </row>
    <row r="106" spans="1:31" s="15" customFormat="1" hidden="1" outlineLevel="2">
      <c r="A106" t="s">
        <v>157</v>
      </c>
      <c r="B106" s="51" t="s">
        <v>146</v>
      </c>
      <c r="C106" s="21" t="s">
        <v>321</v>
      </c>
      <c r="D106" s="1">
        <v>0</v>
      </c>
      <c r="E106" s="1">
        <v>0</v>
      </c>
      <c r="F106" s="1">
        <v>0</v>
      </c>
      <c r="G106" s="1">
        <v>0</v>
      </c>
      <c r="H106" s="1">
        <v>79081.338591798412</v>
      </c>
      <c r="I106" s="1">
        <v>0</v>
      </c>
      <c r="J106" s="1">
        <v>-439755.6953724327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86150.092617842776</v>
      </c>
      <c r="Q106" s="1">
        <v>0</v>
      </c>
      <c r="R106" s="1">
        <v>33910.030315536424</v>
      </c>
      <c r="S106" s="1">
        <v>-1698654.1925786412</v>
      </c>
      <c r="T106" s="1">
        <v>0</v>
      </c>
      <c r="U106" s="1">
        <v>3554.5902718339057</v>
      </c>
      <c r="V106" s="1">
        <v>0</v>
      </c>
      <c r="W106" s="1">
        <v>20423.345231762622</v>
      </c>
      <c r="X106" s="1">
        <v>0</v>
      </c>
      <c r="Y106" s="1">
        <v>105041.7298269983</v>
      </c>
      <c r="Z106" s="1">
        <v>0</v>
      </c>
      <c r="AA106" s="1">
        <v>0</v>
      </c>
      <c r="AB106" s="1">
        <v>0</v>
      </c>
      <c r="AC106" s="1">
        <v>0</v>
      </c>
      <c r="AD106" s="35"/>
      <c r="AE106" s="1">
        <f t="shared" si="2"/>
        <v>-1810248.7610953017</v>
      </c>
    </row>
    <row r="107" spans="1:31" s="15" customFormat="1" hidden="1" outlineLevel="2">
      <c r="A107" t="s">
        <v>157</v>
      </c>
      <c r="B107" s="51" t="s">
        <v>147</v>
      </c>
      <c r="C107" s="21" t="s">
        <v>322</v>
      </c>
      <c r="D107" s="1">
        <v>0</v>
      </c>
      <c r="E107" s="1">
        <v>0</v>
      </c>
      <c r="F107" s="1">
        <v>0</v>
      </c>
      <c r="G107" s="1">
        <v>0</v>
      </c>
      <c r="H107" s="1">
        <v>38818.015877451755</v>
      </c>
      <c r="I107" s="1">
        <v>0</v>
      </c>
      <c r="J107" s="1">
        <v>507996.668799987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76639.379466773578</v>
      </c>
      <c r="S107" s="1">
        <v>1361716.1762245288</v>
      </c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35"/>
      <c r="AE107" s="1">
        <f t="shared" si="2"/>
        <v>1985170.2403687411</v>
      </c>
    </row>
    <row r="108" spans="1:31" s="15" customFormat="1" hidden="1" outlineLevel="2">
      <c r="A108" t="s">
        <v>157</v>
      </c>
      <c r="B108" s="51" t="s">
        <v>148</v>
      </c>
      <c r="C108" s="21" t="s">
        <v>323</v>
      </c>
      <c r="D108" s="1">
        <v>0</v>
      </c>
      <c r="E108" s="1">
        <v>0</v>
      </c>
      <c r="F108" s="1">
        <v>0</v>
      </c>
      <c r="G108" s="1">
        <v>0</v>
      </c>
      <c r="H108" s="1">
        <v>195988.73292424565</v>
      </c>
      <c r="I108" s="1">
        <v>0</v>
      </c>
      <c r="J108" s="1">
        <v>1366323.0038152402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149265.43458147201</v>
      </c>
      <c r="Q108" s="1">
        <v>0</v>
      </c>
      <c r="R108" s="1">
        <v>204131.51071649068</v>
      </c>
      <c r="S108" s="1">
        <v>2582841.3699665535</v>
      </c>
      <c r="T108" s="1">
        <v>0</v>
      </c>
      <c r="U108" s="1">
        <v>3606.6284520321383</v>
      </c>
      <c r="V108" s="1">
        <v>0</v>
      </c>
      <c r="W108" s="1">
        <v>35534.470297369306</v>
      </c>
      <c r="X108" s="1">
        <v>0</v>
      </c>
      <c r="Y108" s="1">
        <v>42895.706477684034</v>
      </c>
      <c r="Z108" s="1">
        <v>0</v>
      </c>
      <c r="AA108" s="1">
        <v>0</v>
      </c>
      <c r="AB108" s="1">
        <v>0</v>
      </c>
      <c r="AC108" s="1">
        <v>0</v>
      </c>
      <c r="AD108" s="35"/>
      <c r="AE108" s="1">
        <f t="shared" si="2"/>
        <v>4580586.8572310871</v>
      </c>
    </row>
    <row r="109" spans="1:31" s="15" customFormat="1" hidden="1" outlineLevel="2">
      <c r="A109" t="s">
        <v>157</v>
      </c>
      <c r="B109" s="51" t="s">
        <v>149</v>
      </c>
      <c r="C109" s="15" t="s">
        <v>324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421548.03640323144</v>
      </c>
      <c r="J109" s="1">
        <v>2511246.9401322892</v>
      </c>
      <c r="K109" s="1">
        <v>593475.21612418641</v>
      </c>
      <c r="L109" s="1">
        <v>0</v>
      </c>
      <c r="M109" s="1">
        <v>359319.76510040194</v>
      </c>
      <c r="N109" s="1">
        <v>1384830.4250024504</v>
      </c>
      <c r="O109" s="1">
        <v>52404.82265675161</v>
      </c>
      <c r="P109" s="1">
        <v>0</v>
      </c>
      <c r="Q109" s="1">
        <v>0</v>
      </c>
      <c r="R109" s="1">
        <v>0</v>
      </c>
      <c r="S109" s="1">
        <v>0</v>
      </c>
      <c r="T109" s="1">
        <v>35493.662741888606</v>
      </c>
      <c r="U109" s="1">
        <v>596931.91131662671</v>
      </c>
      <c r="V109" s="1">
        <v>557523.55936708441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169085.59835817944</v>
      </c>
      <c r="AC109" s="1">
        <v>0</v>
      </c>
      <c r="AD109" s="35"/>
      <c r="AE109" s="1">
        <f t="shared" si="2"/>
        <v>6681859.9372030897</v>
      </c>
    </row>
    <row r="110" spans="1:31" s="15" customFormat="1" hidden="1" outlineLevel="2">
      <c r="A110" t="s">
        <v>157</v>
      </c>
      <c r="B110" s="51" t="s">
        <v>150</v>
      </c>
      <c r="C110" s="15" t="s">
        <v>325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68989.870217323158</v>
      </c>
      <c r="J110" s="1">
        <v>41821.973465429182</v>
      </c>
      <c r="K110" s="1">
        <v>79362.811755291652</v>
      </c>
      <c r="L110" s="1">
        <v>0</v>
      </c>
      <c r="M110" s="1">
        <v>16082.404801791596</v>
      </c>
      <c r="N110" s="1">
        <v>224763.74140854646</v>
      </c>
      <c r="O110" s="1">
        <v>9271.3188336369167</v>
      </c>
      <c r="P110" s="1">
        <v>0</v>
      </c>
      <c r="Q110" s="1">
        <v>0</v>
      </c>
      <c r="R110" s="1">
        <v>0</v>
      </c>
      <c r="S110" s="1">
        <v>0</v>
      </c>
      <c r="T110" s="1">
        <v>5672.0412737765264</v>
      </c>
      <c r="U110" s="1">
        <v>29923.423273876753</v>
      </c>
      <c r="V110" s="1">
        <v>76858.718661986146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-9711.0840037951093</v>
      </c>
      <c r="AC110" s="1">
        <v>0</v>
      </c>
      <c r="AD110" s="35"/>
      <c r="AE110" s="1">
        <f t="shared" si="2"/>
        <v>543035.21968786337</v>
      </c>
    </row>
    <row r="111" spans="1:31" s="15" customFormat="1" hidden="1" outlineLevel="2">
      <c r="A111" t="s">
        <v>157</v>
      </c>
      <c r="B111" s="51" t="s">
        <v>151</v>
      </c>
      <c r="C111" s="15" t="s">
        <v>326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67510.834047139389</v>
      </c>
      <c r="AD111" s="35"/>
      <c r="AE111" s="1">
        <f t="shared" si="2"/>
        <v>67510.834047139389</v>
      </c>
    </row>
    <row r="112" spans="1:31" s="15" customFormat="1" hidden="1" outlineLevel="2">
      <c r="A112" t="s">
        <v>157</v>
      </c>
      <c r="B112" s="51" t="s">
        <v>152</v>
      </c>
      <c r="C112" s="21" t="s">
        <v>327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-35641.22569880652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35"/>
      <c r="AE112" s="1">
        <f t="shared" si="2"/>
        <v>-35641.22569880652</v>
      </c>
    </row>
    <row r="113" spans="1:31" s="15" customFormat="1" hidden="1" outlineLevel="2">
      <c r="A113" t="s">
        <v>157</v>
      </c>
      <c r="B113" s="51" t="s">
        <v>153</v>
      </c>
      <c r="C113" s="21" t="s">
        <v>328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187.69467071554058</v>
      </c>
      <c r="J113" s="1">
        <v>110629.10265226191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76157.890224561721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35"/>
      <c r="AE113" s="1">
        <f t="shared" si="2"/>
        <v>186974.68754753919</v>
      </c>
    </row>
    <row r="114" spans="1:31" s="15" customFormat="1" hidden="1" outlineLevel="2">
      <c r="A114" t="s">
        <v>157</v>
      </c>
      <c r="B114" s="51" t="s">
        <v>246</v>
      </c>
      <c r="C114" s="21" t="s">
        <v>329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0</v>
      </c>
      <c r="W114" s="1">
        <v>99.385630187330165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35"/>
      <c r="AE114" s="1">
        <f t="shared" si="2"/>
        <v>99.385630187330165</v>
      </c>
    </row>
    <row r="115" spans="1:31" s="15" customFormat="1" hidden="1" outlineLevel="2">
      <c r="A115" t="s">
        <v>157</v>
      </c>
      <c r="B115" s="51" t="s">
        <v>247</v>
      </c>
      <c r="C115" s="21" t="s">
        <v>330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0</v>
      </c>
      <c r="W115" s="1">
        <v>624.83455398564297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35"/>
      <c r="AE115" s="1">
        <f t="shared" si="2"/>
        <v>624.83455398564297</v>
      </c>
    </row>
    <row r="116" spans="1:31" s="15" customFormat="1" hidden="1" outlineLevel="2">
      <c r="A116" t="s">
        <v>157</v>
      </c>
      <c r="B116" s="51" t="s">
        <v>154</v>
      </c>
      <c r="C116" s="21" t="s">
        <v>331</v>
      </c>
      <c r="D116" s="1">
        <v>0</v>
      </c>
      <c r="E116" s="1">
        <v>0</v>
      </c>
      <c r="F116" s="1">
        <v>0</v>
      </c>
      <c r="G116" s="1">
        <v>0</v>
      </c>
      <c r="H116" s="1">
        <v>384.24295388920712</v>
      </c>
      <c r="I116" s="1">
        <v>0</v>
      </c>
      <c r="J116" s="1">
        <v>504.13967328071249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1657.478197830419</v>
      </c>
      <c r="Q116" s="1">
        <v>0</v>
      </c>
      <c r="R116" s="1">
        <v>6794.0511644102153</v>
      </c>
      <c r="S116" s="1">
        <v>0</v>
      </c>
      <c r="T116" s="1">
        <v>0</v>
      </c>
      <c r="U116" s="1">
        <v>740.98247024693762</v>
      </c>
      <c r="V116" s="1">
        <v>0</v>
      </c>
      <c r="W116" s="1">
        <v>17172.144447592014</v>
      </c>
      <c r="X116" s="1">
        <v>0</v>
      </c>
      <c r="Y116" s="1">
        <v>2305.4318523399097</v>
      </c>
      <c r="Z116" s="1">
        <v>0</v>
      </c>
      <c r="AA116" s="1">
        <v>0</v>
      </c>
      <c r="AB116" s="1">
        <v>0</v>
      </c>
      <c r="AC116" s="1">
        <v>0</v>
      </c>
      <c r="AD116" s="35"/>
      <c r="AE116" s="1">
        <f t="shared" si="2"/>
        <v>29558.470759589414</v>
      </c>
    </row>
    <row r="117" spans="1:31" s="15" customFormat="1" hidden="1" outlineLevel="2">
      <c r="A117" t="s">
        <v>157</v>
      </c>
      <c r="B117" s="51" t="s">
        <v>155</v>
      </c>
      <c r="C117" s="21" t="s">
        <v>332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7257.6125818646706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14901.760209414788</v>
      </c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35"/>
      <c r="AE117" s="1">
        <f t="shared" si="2"/>
        <v>22159.372791279457</v>
      </c>
    </row>
    <row r="118" spans="1:31" s="15" customFormat="1" hidden="1" outlineLevel="2">
      <c r="A118" t="s">
        <v>157</v>
      </c>
      <c r="B118" s="51" t="s">
        <v>156</v>
      </c>
      <c r="C118" s="21" t="s">
        <v>333</v>
      </c>
      <c r="D118" s="1">
        <v>202.7364275163593</v>
      </c>
      <c r="E118" s="1">
        <v>1045.0472143897532</v>
      </c>
      <c r="F118" s="1">
        <v>801.12224785968056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34582.837377692638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39628.280814383703</v>
      </c>
      <c r="AA118" s="1">
        <v>72123.278323006831</v>
      </c>
      <c r="AB118" s="1">
        <v>0</v>
      </c>
      <c r="AC118" s="1">
        <v>3722.0577230765298</v>
      </c>
      <c r="AD118" s="35"/>
      <c r="AE118" s="1">
        <f t="shared" si="2"/>
        <v>152105.36012792549</v>
      </c>
    </row>
    <row r="119" spans="1:31" s="15" customFormat="1" outlineLevel="1" collapsed="1">
      <c r="A119" t="s">
        <v>230</v>
      </c>
      <c r="B119" s="51"/>
      <c r="C119" s="21" t="s">
        <v>10</v>
      </c>
      <c r="D119" s="1">
        <f t="shared" ref="D119:AC119" si="6">SUBTOTAL(9,D49:D118)</f>
        <v>141040.2081997091</v>
      </c>
      <c r="E119" s="1">
        <f t="shared" si="6"/>
        <v>29769.331345252129</v>
      </c>
      <c r="F119" s="1">
        <f t="shared" si="6"/>
        <v>58031.732030188854</v>
      </c>
      <c r="G119" s="1">
        <f t="shared" si="6"/>
        <v>227903.6033890922</v>
      </c>
      <c r="H119" s="1">
        <f t="shared" si="6"/>
        <v>587008.08360906166</v>
      </c>
      <c r="I119" s="1">
        <f t="shared" si="6"/>
        <v>544298.60714418639</v>
      </c>
      <c r="J119" s="1">
        <f t="shared" si="6"/>
        <v>6028051.2653367827</v>
      </c>
      <c r="K119" s="1">
        <f t="shared" si="6"/>
        <v>1159738.6184340552</v>
      </c>
      <c r="L119" s="1">
        <f t="shared" si="6"/>
        <v>1274708.2925372839</v>
      </c>
      <c r="M119" s="1">
        <f t="shared" si="6"/>
        <v>424999.47985608241</v>
      </c>
      <c r="N119" s="1">
        <f t="shared" si="6"/>
        <v>2240281.9309774176</v>
      </c>
      <c r="O119" s="1">
        <f t="shared" si="6"/>
        <v>167362.17819972217</v>
      </c>
      <c r="P119" s="1">
        <f t="shared" si="6"/>
        <v>200277.1209881306</v>
      </c>
      <c r="Q119" s="1">
        <f t="shared" si="6"/>
        <v>6162.4692165411361</v>
      </c>
      <c r="R119" s="1">
        <f t="shared" si="6"/>
        <v>475877.44057006575</v>
      </c>
      <c r="S119" s="1">
        <f t="shared" si="6"/>
        <v>9704504.2024348229</v>
      </c>
      <c r="T119" s="1">
        <f t="shared" si="6"/>
        <v>47332.063317816086</v>
      </c>
      <c r="U119" s="1">
        <f t="shared" si="6"/>
        <v>942699.28365413379</v>
      </c>
      <c r="V119" s="1">
        <f t="shared" si="6"/>
        <v>727028.6368648737</v>
      </c>
      <c r="W119" s="1">
        <f t="shared" si="6"/>
        <v>382866.47540044505</v>
      </c>
      <c r="X119" s="1">
        <f t="shared" si="6"/>
        <v>42961.689940371522</v>
      </c>
      <c r="Y119" s="1">
        <f t="shared" si="6"/>
        <v>152775.08025872312</v>
      </c>
      <c r="Z119" s="1">
        <f t="shared" si="6"/>
        <v>96415.604737364483</v>
      </c>
      <c r="AA119" s="1">
        <f t="shared" si="6"/>
        <v>403855.41530813841</v>
      </c>
      <c r="AB119" s="1">
        <f t="shared" si="6"/>
        <v>194890.24965475558</v>
      </c>
      <c r="AC119" s="1">
        <f t="shared" si="6"/>
        <v>60444.748483799587</v>
      </c>
      <c r="AD119" s="35"/>
      <c r="AE119" s="1">
        <f>SUBTOTAL(9,AE49:AE118)</f>
        <v>26321283.811888814</v>
      </c>
    </row>
    <row r="120" spans="1:31" s="15" customFormat="1" hidden="1" outlineLevel="2">
      <c r="A120" t="s">
        <v>182</v>
      </c>
      <c r="B120" s="51" t="s">
        <v>158</v>
      </c>
      <c r="C120" s="21" t="s">
        <v>334</v>
      </c>
      <c r="D120" s="5">
        <v>3204.131093804619</v>
      </c>
      <c r="E120" s="5">
        <v>0</v>
      </c>
      <c r="F120" s="5">
        <v>0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5">
        <v>0</v>
      </c>
      <c r="V120" s="5">
        <v>0</v>
      </c>
      <c r="W120" s="5">
        <v>0</v>
      </c>
      <c r="X120" s="5">
        <v>0</v>
      </c>
      <c r="Y120" s="5">
        <v>0</v>
      </c>
      <c r="Z120" s="5">
        <v>0</v>
      </c>
      <c r="AA120" s="5">
        <v>1211.6968917509334</v>
      </c>
      <c r="AB120" s="5">
        <v>0</v>
      </c>
      <c r="AC120" s="5">
        <v>0</v>
      </c>
      <c r="AD120" s="35"/>
      <c r="AE120" s="1">
        <f t="shared" si="2"/>
        <v>4415.827985555552</v>
      </c>
    </row>
    <row r="121" spans="1:31" s="15" customFormat="1" hidden="1" outlineLevel="2">
      <c r="A121" t="s">
        <v>182</v>
      </c>
      <c r="B121" s="51" t="s">
        <v>159</v>
      </c>
      <c r="C121" s="21" t="s">
        <v>335</v>
      </c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35"/>
      <c r="AE121" s="1">
        <f t="shared" si="2"/>
        <v>0</v>
      </c>
    </row>
    <row r="122" spans="1:31" s="15" customFormat="1" hidden="1" outlineLevel="2">
      <c r="A122" t="s">
        <v>182</v>
      </c>
      <c r="B122" s="51" t="s">
        <v>160</v>
      </c>
      <c r="C122" s="21" t="s">
        <v>336</v>
      </c>
      <c r="D122" s="5">
        <v>0</v>
      </c>
      <c r="E122" s="5">
        <v>0</v>
      </c>
      <c r="F122" s="5">
        <v>0</v>
      </c>
      <c r="G122" s="5">
        <v>0</v>
      </c>
      <c r="H122" s="5">
        <v>0</v>
      </c>
      <c r="I122" s="5">
        <v>0</v>
      </c>
      <c r="J122" s="5">
        <v>0</v>
      </c>
      <c r="K122" s="5">
        <v>0</v>
      </c>
      <c r="L122" s="5">
        <v>0</v>
      </c>
      <c r="M122" s="5">
        <v>0</v>
      </c>
      <c r="N122" s="5">
        <v>0</v>
      </c>
      <c r="O122" s="5">
        <v>0</v>
      </c>
      <c r="P122" s="5">
        <v>0</v>
      </c>
      <c r="Q122" s="5">
        <v>0</v>
      </c>
      <c r="R122" s="5">
        <v>8751.1169030935471</v>
      </c>
      <c r="S122" s="5">
        <v>0</v>
      </c>
      <c r="T122" s="5">
        <v>0</v>
      </c>
      <c r="U122" s="5">
        <v>0</v>
      </c>
      <c r="V122" s="5">
        <v>0</v>
      </c>
      <c r="W122" s="5">
        <v>23670.933162772591</v>
      </c>
      <c r="X122" s="5">
        <v>0</v>
      </c>
      <c r="Y122" s="5">
        <v>0</v>
      </c>
      <c r="Z122" s="5">
        <v>0</v>
      </c>
      <c r="AA122" s="5">
        <v>0</v>
      </c>
      <c r="AB122" s="5">
        <v>0</v>
      </c>
      <c r="AC122" s="5">
        <v>0</v>
      </c>
      <c r="AD122" s="35"/>
      <c r="AE122" s="1">
        <f t="shared" si="2"/>
        <v>32422.05006586614</v>
      </c>
    </row>
    <row r="123" spans="1:31" s="15" customFormat="1" hidden="1" outlineLevel="2">
      <c r="A123" t="s">
        <v>182</v>
      </c>
      <c r="B123" s="51" t="s">
        <v>161</v>
      </c>
      <c r="C123" s="21" t="s">
        <v>337</v>
      </c>
      <c r="D123" s="5">
        <v>0</v>
      </c>
      <c r="E123" s="5">
        <v>0</v>
      </c>
      <c r="F123" s="5">
        <v>0</v>
      </c>
      <c r="G123" s="5">
        <v>0</v>
      </c>
      <c r="H123" s="5">
        <v>0</v>
      </c>
      <c r="I123" s="5">
        <v>0</v>
      </c>
      <c r="J123" s="5">
        <v>12867.793744421266</v>
      </c>
      <c r="K123" s="5">
        <v>0</v>
      </c>
      <c r="L123" s="5">
        <v>0</v>
      </c>
      <c r="M123" s="5">
        <v>0</v>
      </c>
      <c r="N123" s="5">
        <v>0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5">
        <v>0</v>
      </c>
      <c r="U123" s="5">
        <v>0</v>
      </c>
      <c r="V123" s="5">
        <v>0</v>
      </c>
      <c r="W123" s="5">
        <v>11930.32632196108</v>
      </c>
      <c r="X123" s="5">
        <v>0</v>
      </c>
      <c r="Y123" s="5">
        <v>0</v>
      </c>
      <c r="Z123" s="5">
        <v>0</v>
      </c>
      <c r="AA123" s="5">
        <v>0</v>
      </c>
      <c r="AB123" s="5">
        <v>0</v>
      </c>
      <c r="AC123" s="5">
        <v>0</v>
      </c>
      <c r="AD123" s="35"/>
      <c r="AE123" s="1">
        <f t="shared" si="2"/>
        <v>24798.120066382347</v>
      </c>
    </row>
    <row r="124" spans="1:31" s="15" customFormat="1" hidden="1" outlineLevel="2">
      <c r="A124" t="s">
        <v>182</v>
      </c>
      <c r="B124" s="51" t="s">
        <v>162</v>
      </c>
      <c r="C124" s="21" t="s">
        <v>338</v>
      </c>
      <c r="D124" s="5">
        <v>0</v>
      </c>
      <c r="E124" s="5">
        <v>0</v>
      </c>
      <c r="F124" s="5">
        <v>0</v>
      </c>
      <c r="G124" s="5">
        <v>0</v>
      </c>
      <c r="H124" s="5">
        <v>0</v>
      </c>
      <c r="I124" s="5">
        <v>0</v>
      </c>
      <c r="J124" s="5">
        <v>0</v>
      </c>
      <c r="K124" s="5">
        <v>0</v>
      </c>
      <c r="L124" s="5">
        <v>0</v>
      </c>
      <c r="M124" s="5">
        <v>0</v>
      </c>
      <c r="N124" s="5">
        <v>0</v>
      </c>
      <c r="O124" s="5">
        <v>0</v>
      </c>
      <c r="P124" s="5">
        <v>0</v>
      </c>
      <c r="Q124" s="5">
        <v>0</v>
      </c>
      <c r="R124" s="5">
        <v>5037.3817005930196</v>
      </c>
      <c r="S124" s="5">
        <v>0</v>
      </c>
      <c r="T124" s="5">
        <v>0</v>
      </c>
      <c r="U124" s="5">
        <v>0</v>
      </c>
      <c r="V124" s="5">
        <v>0</v>
      </c>
      <c r="W124" s="5">
        <v>0</v>
      </c>
      <c r="X124" s="5">
        <v>0</v>
      </c>
      <c r="Y124" s="5">
        <v>0</v>
      </c>
      <c r="Z124" s="5">
        <v>0</v>
      </c>
      <c r="AA124" s="5">
        <v>0</v>
      </c>
      <c r="AB124" s="5">
        <v>0</v>
      </c>
      <c r="AC124" s="5">
        <v>0</v>
      </c>
      <c r="AD124" s="35"/>
      <c r="AE124" s="1">
        <f t="shared" si="2"/>
        <v>5037.3817005930196</v>
      </c>
    </row>
    <row r="125" spans="1:31" s="15" customFormat="1" hidden="1" outlineLevel="2">
      <c r="A125" t="s">
        <v>182</v>
      </c>
      <c r="B125" s="51" t="s">
        <v>163</v>
      </c>
      <c r="C125" s="21" t="s">
        <v>339</v>
      </c>
      <c r="D125" s="5">
        <v>0</v>
      </c>
      <c r="E125" s="5">
        <v>0</v>
      </c>
      <c r="F125" s="5">
        <v>0</v>
      </c>
      <c r="G125" s="5">
        <v>0</v>
      </c>
      <c r="H125" s="5">
        <v>0</v>
      </c>
      <c r="I125" s="5">
        <v>0</v>
      </c>
      <c r="J125" s="5">
        <v>0</v>
      </c>
      <c r="K125" s="5">
        <v>0</v>
      </c>
      <c r="L125" s="5">
        <v>0</v>
      </c>
      <c r="M125" s="5">
        <v>0</v>
      </c>
      <c r="N125" s="5">
        <v>0</v>
      </c>
      <c r="O125" s="5">
        <v>0</v>
      </c>
      <c r="P125" s="5">
        <v>21194.847991452305</v>
      </c>
      <c r="Q125" s="5">
        <v>0</v>
      </c>
      <c r="R125" s="5">
        <v>49383.695438649585</v>
      </c>
      <c r="S125" s="5">
        <v>0</v>
      </c>
      <c r="T125" s="5">
        <v>0</v>
      </c>
      <c r="U125" s="5">
        <v>0</v>
      </c>
      <c r="V125" s="5">
        <v>0</v>
      </c>
      <c r="W125" s="5">
        <v>0</v>
      </c>
      <c r="X125" s="5">
        <v>0</v>
      </c>
      <c r="Y125" s="5">
        <v>7305.8483272308513</v>
      </c>
      <c r="Z125" s="5">
        <v>0</v>
      </c>
      <c r="AA125" s="5">
        <v>0</v>
      </c>
      <c r="AB125" s="5">
        <v>0</v>
      </c>
      <c r="AC125" s="5">
        <v>0</v>
      </c>
      <c r="AD125" s="35"/>
      <c r="AE125" s="1">
        <f t="shared" si="2"/>
        <v>77884.391757332734</v>
      </c>
    </row>
    <row r="126" spans="1:31" s="15" customFormat="1" hidden="1" outlineLevel="2">
      <c r="A126" t="s">
        <v>182</v>
      </c>
      <c r="B126" s="51" t="s">
        <v>164</v>
      </c>
      <c r="C126" s="21" t="s">
        <v>340</v>
      </c>
      <c r="D126" s="5">
        <v>0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5">
        <v>0</v>
      </c>
      <c r="M126" s="5">
        <v>0</v>
      </c>
      <c r="N126" s="5">
        <v>0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v>0</v>
      </c>
      <c r="U126" s="5">
        <v>0</v>
      </c>
      <c r="V126" s="5">
        <v>0</v>
      </c>
      <c r="W126" s="5">
        <v>0</v>
      </c>
      <c r="X126" s="5">
        <v>0</v>
      </c>
      <c r="Y126" s="5">
        <v>0</v>
      </c>
      <c r="Z126" s="5">
        <v>0</v>
      </c>
      <c r="AA126" s="5">
        <v>-5.04</v>
      </c>
      <c r="AB126" s="5">
        <v>0</v>
      </c>
      <c r="AC126" s="5">
        <v>0</v>
      </c>
      <c r="AD126" s="35"/>
      <c r="AE126" s="1">
        <f t="shared" si="2"/>
        <v>-5.04</v>
      </c>
    </row>
    <row r="127" spans="1:31" s="15" customFormat="1" hidden="1" outlineLevel="2">
      <c r="A127" t="s">
        <v>182</v>
      </c>
      <c r="B127" s="51" t="s">
        <v>165</v>
      </c>
      <c r="C127" s="21" t="s">
        <v>341</v>
      </c>
      <c r="D127" s="5">
        <v>0</v>
      </c>
      <c r="E127" s="5">
        <v>0</v>
      </c>
      <c r="F127" s="5">
        <v>0</v>
      </c>
      <c r="G127" s="5">
        <v>0</v>
      </c>
      <c r="H127" s="5">
        <v>0</v>
      </c>
      <c r="I127" s="5">
        <v>0</v>
      </c>
      <c r="J127" s="5">
        <v>0</v>
      </c>
      <c r="K127" s="5">
        <v>0</v>
      </c>
      <c r="L127" s="5">
        <v>0</v>
      </c>
      <c r="M127" s="5">
        <v>0</v>
      </c>
      <c r="N127" s="5">
        <v>0</v>
      </c>
      <c r="O127" s="5">
        <v>0</v>
      </c>
      <c r="P127" s="5">
        <v>0</v>
      </c>
      <c r="Q127" s="5">
        <v>0</v>
      </c>
      <c r="R127" s="5">
        <v>0</v>
      </c>
      <c r="S127" s="5">
        <v>0</v>
      </c>
      <c r="T127" s="5">
        <v>0</v>
      </c>
      <c r="U127" s="5">
        <v>0</v>
      </c>
      <c r="V127" s="5">
        <v>0</v>
      </c>
      <c r="W127" s="5">
        <v>0</v>
      </c>
      <c r="X127" s="5">
        <v>0</v>
      </c>
      <c r="Y127" s="5">
        <v>0</v>
      </c>
      <c r="Z127" s="5">
        <v>9985.5051083197668</v>
      </c>
      <c r="AA127" s="5">
        <v>-1669.52</v>
      </c>
      <c r="AB127" s="5">
        <v>0</v>
      </c>
      <c r="AC127" s="5">
        <v>0</v>
      </c>
      <c r="AD127" s="35"/>
      <c r="AE127" s="1">
        <f t="shared" si="2"/>
        <v>8315.9851083197664</v>
      </c>
    </row>
    <row r="128" spans="1:31" s="15" customFormat="1" hidden="1" outlineLevel="2">
      <c r="A128" t="s">
        <v>182</v>
      </c>
      <c r="B128" s="51" t="s">
        <v>166</v>
      </c>
      <c r="C128" s="21" t="s">
        <v>342</v>
      </c>
      <c r="D128" s="5">
        <v>0</v>
      </c>
      <c r="E128" s="5">
        <v>0</v>
      </c>
      <c r="F128" s="5">
        <v>0</v>
      </c>
      <c r="G128" s="5">
        <v>0</v>
      </c>
      <c r="H128" s="5">
        <v>0</v>
      </c>
      <c r="I128" s="5">
        <v>0</v>
      </c>
      <c r="J128" s="5">
        <v>96053.176101552919</v>
      </c>
      <c r="K128" s="5">
        <v>0</v>
      </c>
      <c r="L128" s="5">
        <v>0</v>
      </c>
      <c r="M128" s="5">
        <v>0</v>
      </c>
      <c r="N128" s="5">
        <v>0</v>
      </c>
      <c r="O128" s="5">
        <v>0</v>
      </c>
      <c r="P128" s="5">
        <v>17135.328516696307</v>
      </c>
      <c r="Q128" s="5">
        <v>0</v>
      </c>
      <c r="R128" s="5">
        <v>51110.056275635667</v>
      </c>
      <c r="S128" s="5">
        <v>0</v>
      </c>
      <c r="T128" s="5">
        <v>0</v>
      </c>
      <c r="U128" s="5">
        <v>0</v>
      </c>
      <c r="V128" s="5">
        <v>0</v>
      </c>
      <c r="W128" s="5">
        <v>30549.670568847112</v>
      </c>
      <c r="X128" s="5">
        <v>0</v>
      </c>
      <c r="Y128" s="5">
        <v>3625.4643563983986</v>
      </c>
      <c r="Z128" s="5">
        <v>0</v>
      </c>
      <c r="AA128" s="5">
        <v>0</v>
      </c>
      <c r="AB128" s="5">
        <v>0</v>
      </c>
      <c r="AC128" s="5">
        <v>0</v>
      </c>
      <c r="AD128" s="35"/>
      <c r="AE128" s="1">
        <f t="shared" si="2"/>
        <v>198473.6958191304</v>
      </c>
    </row>
    <row r="129" spans="1:31" s="15" customFormat="1" hidden="1" outlineLevel="2">
      <c r="A129" t="s">
        <v>182</v>
      </c>
      <c r="B129" s="51" t="s">
        <v>167</v>
      </c>
      <c r="C129" s="21" t="s">
        <v>343</v>
      </c>
      <c r="D129" s="5">
        <v>3015.5150146774881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>
        <v>0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0</v>
      </c>
      <c r="T129" s="5">
        <v>0</v>
      </c>
      <c r="U129" s="5">
        <v>0</v>
      </c>
      <c r="V129" s="5">
        <v>0</v>
      </c>
      <c r="W129" s="5">
        <v>0</v>
      </c>
      <c r="X129" s="5">
        <v>0</v>
      </c>
      <c r="Y129" s="5">
        <v>0</v>
      </c>
      <c r="Z129" s="5">
        <v>8382.7633100265339</v>
      </c>
      <c r="AA129" s="5">
        <v>-266.03582327448066</v>
      </c>
      <c r="AB129" s="5">
        <v>0</v>
      </c>
      <c r="AC129" s="5">
        <v>0</v>
      </c>
      <c r="AD129" s="35"/>
      <c r="AE129" s="1">
        <f t="shared" si="2"/>
        <v>11132.242501429542</v>
      </c>
    </row>
    <row r="130" spans="1:31" s="15" customFormat="1" hidden="1" outlineLevel="2">
      <c r="A130" t="s">
        <v>182</v>
      </c>
      <c r="B130" s="51" t="s">
        <v>168</v>
      </c>
      <c r="C130" s="21" t="s">
        <v>344</v>
      </c>
      <c r="D130" s="5">
        <v>0</v>
      </c>
      <c r="E130" s="5">
        <v>27009.752206138175</v>
      </c>
      <c r="F130" s="5">
        <v>0</v>
      </c>
      <c r="G130" s="5">
        <v>0</v>
      </c>
      <c r="H130" s="5">
        <v>0</v>
      </c>
      <c r="I130" s="5">
        <v>0</v>
      </c>
      <c r="J130" s="5">
        <v>0</v>
      </c>
      <c r="K130" s="5">
        <v>0</v>
      </c>
      <c r="L130" s="5">
        <v>0</v>
      </c>
      <c r="M130" s="5">
        <v>0</v>
      </c>
      <c r="N130" s="5">
        <v>0</v>
      </c>
      <c r="O130" s="5">
        <v>0</v>
      </c>
      <c r="P130" s="5">
        <v>0</v>
      </c>
      <c r="Q130" s="5">
        <v>0</v>
      </c>
      <c r="R130" s="5">
        <v>0</v>
      </c>
      <c r="S130" s="5">
        <v>0</v>
      </c>
      <c r="T130" s="5">
        <v>0</v>
      </c>
      <c r="U130" s="5">
        <v>0</v>
      </c>
      <c r="V130" s="5">
        <v>0</v>
      </c>
      <c r="W130" s="5">
        <v>0</v>
      </c>
      <c r="X130" s="5">
        <v>0</v>
      </c>
      <c r="Y130" s="5">
        <v>0</v>
      </c>
      <c r="Z130" s="5">
        <v>0</v>
      </c>
      <c r="AA130" s="5">
        <v>-17.78</v>
      </c>
      <c r="AB130" s="5">
        <v>0</v>
      </c>
      <c r="AC130" s="5">
        <v>0</v>
      </c>
      <c r="AD130" s="35"/>
      <c r="AE130" s="1">
        <f t="shared" si="2"/>
        <v>26991.972206138176</v>
      </c>
    </row>
    <row r="131" spans="1:31" s="15" customFormat="1" hidden="1" outlineLevel="2">
      <c r="A131" t="s">
        <v>182</v>
      </c>
      <c r="B131" s="51" t="s">
        <v>169</v>
      </c>
      <c r="C131" s="21" t="s">
        <v>345</v>
      </c>
      <c r="D131" s="5">
        <v>0</v>
      </c>
      <c r="E131" s="5">
        <v>0</v>
      </c>
      <c r="F131" s="5">
        <v>-12825.809159586726</v>
      </c>
      <c r="G131" s="5">
        <v>0</v>
      </c>
      <c r="H131" s="5">
        <v>0</v>
      </c>
      <c r="I131" s="5">
        <v>0</v>
      </c>
      <c r="J131" s="5">
        <v>0</v>
      </c>
      <c r="K131" s="5">
        <v>0</v>
      </c>
      <c r="L131" s="5">
        <v>0</v>
      </c>
      <c r="M131" s="5">
        <v>0</v>
      </c>
      <c r="N131" s="5">
        <v>0</v>
      </c>
      <c r="O131" s="5">
        <v>0</v>
      </c>
      <c r="P131" s="5">
        <v>0</v>
      </c>
      <c r="Q131" s="5">
        <v>0</v>
      </c>
      <c r="R131" s="5">
        <v>0</v>
      </c>
      <c r="S131" s="5">
        <v>0</v>
      </c>
      <c r="T131" s="5">
        <v>0</v>
      </c>
      <c r="U131" s="5">
        <v>0</v>
      </c>
      <c r="V131" s="5">
        <v>0</v>
      </c>
      <c r="W131" s="5">
        <v>0</v>
      </c>
      <c r="X131" s="5">
        <v>0</v>
      </c>
      <c r="Y131" s="5">
        <v>0</v>
      </c>
      <c r="Z131" s="5">
        <v>0</v>
      </c>
      <c r="AA131" s="5">
        <v>0</v>
      </c>
      <c r="AB131" s="5">
        <v>0</v>
      </c>
      <c r="AC131" s="5">
        <v>0</v>
      </c>
      <c r="AD131" s="35"/>
      <c r="AE131" s="1">
        <f t="shared" si="2"/>
        <v>-12825.809159586726</v>
      </c>
    </row>
    <row r="132" spans="1:31" s="15" customFormat="1" hidden="1" outlineLevel="2">
      <c r="A132" t="s">
        <v>182</v>
      </c>
      <c r="B132" s="51" t="s">
        <v>170</v>
      </c>
      <c r="C132" s="21" t="s">
        <v>346</v>
      </c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35"/>
      <c r="AE132" s="1">
        <f t="shared" si="2"/>
        <v>0</v>
      </c>
    </row>
    <row r="133" spans="1:31" s="15" customFormat="1" hidden="1" outlineLevel="2">
      <c r="A133" t="s">
        <v>182</v>
      </c>
      <c r="B133" s="51" t="s">
        <v>171</v>
      </c>
      <c r="C133" s="21" t="s">
        <v>347</v>
      </c>
      <c r="D133" s="5">
        <v>0</v>
      </c>
      <c r="E133" s="5">
        <v>0</v>
      </c>
      <c r="F133" s="5">
        <v>0</v>
      </c>
      <c r="G133" s="5">
        <v>0</v>
      </c>
      <c r="H133" s="5">
        <v>0</v>
      </c>
      <c r="I133" s="5">
        <v>0</v>
      </c>
      <c r="J133" s="5">
        <v>0</v>
      </c>
      <c r="K133" s="5">
        <v>0</v>
      </c>
      <c r="L133" s="5">
        <v>0</v>
      </c>
      <c r="M133" s="5">
        <v>0</v>
      </c>
      <c r="N133" s="5">
        <v>0</v>
      </c>
      <c r="O133" s="5">
        <v>0</v>
      </c>
      <c r="P133" s="5">
        <v>0</v>
      </c>
      <c r="Q133" s="5">
        <v>0</v>
      </c>
      <c r="R133" s="5">
        <v>26781.605751153151</v>
      </c>
      <c r="S133" s="5">
        <v>0</v>
      </c>
      <c r="T133" s="5">
        <v>0</v>
      </c>
      <c r="U133" s="5">
        <v>0</v>
      </c>
      <c r="V133" s="5">
        <v>0</v>
      </c>
      <c r="W133" s="5">
        <v>0</v>
      </c>
      <c r="X133" s="5">
        <v>0</v>
      </c>
      <c r="Y133" s="5">
        <v>0</v>
      </c>
      <c r="Z133" s="5">
        <v>0</v>
      </c>
      <c r="AA133" s="5">
        <v>0</v>
      </c>
      <c r="AB133" s="5">
        <v>0</v>
      </c>
      <c r="AC133" s="5">
        <v>0</v>
      </c>
      <c r="AD133" s="35"/>
      <c r="AE133" s="1">
        <f t="shared" si="2"/>
        <v>26781.605751153151</v>
      </c>
    </row>
    <row r="134" spans="1:31" s="15" customFormat="1" hidden="1" outlineLevel="2">
      <c r="A134" t="s">
        <v>182</v>
      </c>
      <c r="B134" s="51" t="s">
        <v>172</v>
      </c>
      <c r="C134" s="21" t="s">
        <v>348</v>
      </c>
      <c r="D134" s="5">
        <v>0</v>
      </c>
      <c r="E134" s="5">
        <v>0</v>
      </c>
      <c r="F134" s="5">
        <v>0</v>
      </c>
      <c r="G134" s="5">
        <v>0</v>
      </c>
      <c r="H134" s="5">
        <v>0</v>
      </c>
      <c r="I134" s="5">
        <v>-28513.882235621622</v>
      </c>
      <c r="J134" s="5">
        <v>0</v>
      </c>
      <c r="K134" s="5">
        <v>0</v>
      </c>
      <c r="L134" s="5">
        <v>0</v>
      </c>
      <c r="M134" s="5">
        <v>0</v>
      </c>
      <c r="N134" s="5">
        <v>0</v>
      </c>
      <c r="O134" s="5">
        <v>9256.889186845121</v>
      </c>
      <c r="P134" s="5">
        <v>0</v>
      </c>
      <c r="Q134" s="5">
        <v>0</v>
      </c>
      <c r="R134" s="5">
        <v>0</v>
      </c>
      <c r="S134" s="5">
        <v>0</v>
      </c>
      <c r="T134" s="5">
        <v>0</v>
      </c>
      <c r="U134" s="5">
        <v>-59548.850024973821</v>
      </c>
      <c r="V134" s="5">
        <v>13454.412602953485</v>
      </c>
      <c r="W134" s="5">
        <v>0</v>
      </c>
      <c r="X134" s="5">
        <v>0</v>
      </c>
      <c r="Y134" s="5">
        <v>0</v>
      </c>
      <c r="Z134" s="5">
        <v>0</v>
      </c>
      <c r="AA134" s="5">
        <v>0</v>
      </c>
      <c r="AB134" s="5">
        <v>0</v>
      </c>
      <c r="AC134" s="5">
        <v>0</v>
      </c>
      <c r="AD134" s="35"/>
      <c r="AE134" s="1">
        <f t="shared" si="2"/>
        <v>-65351.43047079684</v>
      </c>
    </row>
    <row r="135" spans="1:31" s="15" customFormat="1" hidden="1" outlineLevel="2">
      <c r="A135" t="s">
        <v>182</v>
      </c>
      <c r="B135" s="51" t="s">
        <v>173</v>
      </c>
      <c r="C135" s="21" t="s">
        <v>349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">
        <v>-92569.762346402233</v>
      </c>
      <c r="K135" s="5">
        <v>0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5">
        <v>0</v>
      </c>
      <c r="T135" s="5">
        <v>0</v>
      </c>
      <c r="U135" s="5">
        <v>3153.5598964976634</v>
      </c>
      <c r="V135" s="5">
        <v>0</v>
      </c>
      <c r="W135" s="5">
        <v>91176.024637247654</v>
      </c>
      <c r="X135" s="5">
        <v>0</v>
      </c>
      <c r="Y135" s="5">
        <v>0</v>
      </c>
      <c r="Z135" s="5">
        <v>0</v>
      </c>
      <c r="AA135" s="5">
        <v>0</v>
      </c>
      <c r="AB135" s="5">
        <v>0</v>
      </c>
      <c r="AC135" s="5">
        <v>0</v>
      </c>
      <c r="AD135" s="35"/>
      <c r="AE135" s="1">
        <f t="shared" si="2"/>
        <v>1759.8221873430884</v>
      </c>
    </row>
    <row r="136" spans="1:31" s="15" customFormat="1" hidden="1" outlineLevel="2">
      <c r="A136" t="s">
        <v>182</v>
      </c>
      <c r="B136" s="51" t="s">
        <v>174</v>
      </c>
      <c r="C136" s="21" t="s">
        <v>350</v>
      </c>
      <c r="D136" s="5">
        <v>0</v>
      </c>
      <c r="E136" s="5">
        <v>0</v>
      </c>
      <c r="F136" s="5">
        <v>0</v>
      </c>
      <c r="G136" s="5">
        <v>0</v>
      </c>
      <c r="H136" s="5">
        <v>0</v>
      </c>
      <c r="I136" s="5">
        <v>0</v>
      </c>
      <c r="J136" s="5">
        <v>0</v>
      </c>
      <c r="K136" s="5">
        <v>0</v>
      </c>
      <c r="L136" s="5">
        <v>33434.065556053043</v>
      </c>
      <c r="M136" s="5">
        <v>0</v>
      </c>
      <c r="N136" s="5">
        <v>0</v>
      </c>
      <c r="O136" s="5">
        <v>0</v>
      </c>
      <c r="P136" s="5">
        <v>0</v>
      </c>
      <c r="Q136" s="5">
        <v>0</v>
      </c>
      <c r="R136" s="5">
        <v>0</v>
      </c>
      <c r="S136" s="5">
        <v>0</v>
      </c>
      <c r="T136" s="5">
        <v>0</v>
      </c>
      <c r="U136" s="5">
        <v>0</v>
      </c>
      <c r="V136" s="5">
        <v>0</v>
      </c>
      <c r="W136" s="5">
        <v>0</v>
      </c>
      <c r="X136" s="5">
        <v>0</v>
      </c>
      <c r="Y136" s="5">
        <v>0</v>
      </c>
      <c r="Z136" s="5">
        <v>0</v>
      </c>
      <c r="AA136" s="5">
        <v>0</v>
      </c>
      <c r="AB136" s="5">
        <v>0</v>
      </c>
      <c r="AC136" s="5">
        <v>0</v>
      </c>
      <c r="AD136" s="35"/>
      <c r="AE136" s="1">
        <f t="shared" si="2"/>
        <v>33434.065556053043</v>
      </c>
    </row>
    <row r="137" spans="1:31" s="15" customFormat="1" hidden="1" outlineLevel="2">
      <c r="A137" t="s">
        <v>182</v>
      </c>
      <c r="B137" s="51" t="s">
        <v>175</v>
      </c>
      <c r="C137" s="15" t="s">
        <v>351</v>
      </c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35"/>
      <c r="AE137" s="1">
        <f t="shared" si="2"/>
        <v>0</v>
      </c>
    </row>
    <row r="138" spans="1:31" s="15" customFormat="1" hidden="1" outlineLevel="2">
      <c r="A138" t="s">
        <v>182</v>
      </c>
      <c r="B138" s="51" t="s">
        <v>176</v>
      </c>
      <c r="C138" s="15" t="s">
        <v>352</v>
      </c>
      <c r="D138" s="5">
        <v>0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v>0</v>
      </c>
      <c r="M138" s="5">
        <v>53341.702216731035</v>
      </c>
      <c r="N138" s="5">
        <v>0</v>
      </c>
      <c r="O138" s="5">
        <v>92179.469072941632</v>
      </c>
      <c r="P138" s="5">
        <v>0</v>
      </c>
      <c r="Q138" s="5">
        <v>0</v>
      </c>
      <c r="R138" s="5">
        <v>0</v>
      </c>
      <c r="S138" s="5">
        <v>0</v>
      </c>
      <c r="T138" s="5">
        <v>9976.8068321987976</v>
      </c>
      <c r="U138" s="5">
        <v>0</v>
      </c>
      <c r="V138" s="5">
        <v>25755.099835985202</v>
      </c>
      <c r="W138" s="5">
        <v>0</v>
      </c>
      <c r="X138" s="5">
        <v>0</v>
      </c>
      <c r="Y138" s="5">
        <v>0</v>
      </c>
      <c r="Z138" s="5">
        <v>0</v>
      </c>
      <c r="AA138" s="5">
        <v>0</v>
      </c>
      <c r="AB138" s="5">
        <v>0</v>
      </c>
      <c r="AC138" s="5">
        <v>0</v>
      </c>
      <c r="AD138" s="35"/>
      <c r="AE138" s="1">
        <f t="shared" si="2"/>
        <v>181253.07795785667</v>
      </c>
    </row>
    <row r="139" spans="1:31" s="15" customFormat="1" hidden="1" outlineLevel="2">
      <c r="A139" t="s">
        <v>182</v>
      </c>
      <c r="B139" s="51" t="s">
        <v>177</v>
      </c>
      <c r="C139" s="21" t="s">
        <v>353</v>
      </c>
      <c r="D139" s="5">
        <v>0</v>
      </c>
      <c r="E139" s="5">
        <v>0</v>
      </c>
      <c r="F139" s="5">
        <v>0</v>
      </c>
      <c r="G139" s="5">
        <v>0</v>
      </c>
      <c r="H139" s="5">
        <v>0</v>
      </c>
      <c r="I139" s="5">
        <v>106422.74262074912</v>
      </c>
      <c r="J139" s="5">
        <v>43929.88735277814</v>
      </c>
      <c r="K139" s="5">
        <v>0</v>
      </c>
      <c r="L139" s="5">
        <v>0</v>
      </c>
      <c r="M139" s="5">
        <v>0</v>
      </c>
      <c r="N139" s="5">
        <v>0</v>
      </c>
      <c r="O139" s="5">
        <v>0</v>
      </c>
      <c r="P139" s="5">
        <v>0</v>
      </c>
      <c r="Q139" s="5">
        <v>0</v>
      </c>
      <c r="R139" s="5">
        <v>0</v>
      </c>
      <c r="S139" s="5">
        <v>0</v>
      </c>
      <c r="T139" s="5">
        <v>0</v>
      </c>
      <c r="U139" s="5">
        <v>109309.24560944366</v>
      </c>
      <c r="V139" s="5">
        <v>0</v>
      </c>
      <c r="W139" s="5">
        <v>0</v>
      </c>
      <c r="X139" s="5">
        <v>0</v>
      </c>
      <c r="Y139" s="5">
        <v>0</v>
      </c>
      <c r="Z139" s="5">
        <v>0</v>
      </c>
      <c r="AA139" s="5">
        <v>0</v>
      </c>
      <c r="AB139" s="5">
        <v>0</v>
      </c>
      <c r="AC139" s="5">
        <v>0</v>
      </c>
      <c r="AD139" s="35"/>
      <c r="AE139" s="1">
        <f t="shared" si="2"/>
        <v>259661.87558297094</v>
      </c>
    </row>
    <row r="140" spans="1:31" s="15" customFormat="1" hidden="1" outlineLevel="2">
      <c r="A140" t="s">
        <v>182</v>
      </c>
      <c r="B140" s="51" t="s">
        <v>238</v>
      </c>
      <c r="C140" s="21" t="s">
        <v>354</v>
      </c>
      <c r="D140" s="5">
        <v>0</v>
      </c>
      <c r="E140" s="5">
        <v>0</v>
      </c>
      <c r="F140" s="5">
        <v>0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5">
        <v>0</v>
      </c>
      <c r="M140" s="5">
        <v>0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  <c r="S140" s="5">
        <v>0</v>
      </c>
      <c r="T140" s="5">
        <v>0</v>
      </c>
      <c r="U140" s="5">
        <v>0</v>
      </c>
      <c r="V140" s="5">
        <v>0</v>
      </c>
      <c r="W140" s="5">
        <v>6912.6994299231746</v>
      </c>
      <c r="X140" s="5">
        <v>0</v>
      </c>
      <c r="Y140" s="5">
        <v>0</v>
      </c>
      <c r="Z140" s="5">
        <v>0</v>
      </c>
      <c r="AA140" s="5">
        <v>0</v>
      </c>
      <c r="AB140" s="5">
        <v>0</v>
      </c>
      <c r="AC140" s="5">
        <v>0</v>
      </c>
      <c r="AD140" s="35"/>
      <c r="AE140" s="1">
        <f t="shared" si="2"/>
        <v>6912.6994299231746</v>
      </c>
    </row>
    <row r="141" spans="1:31" s="15" customFormat="1" hidden="1" outlineLevel="2">
      <c r="A141" t="s">
        <v>182</v>
      </c>
      <c r="B141" s="51" t="s">
        <v>178</v>
      </c>
      <c r="C141" s="15" t="s">
        <v>355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5">
        <v>25.269800617806641</v>
      </c>
      <c r="J141" s="5">
        <v>0</v>
      </c>
      <c r="K141" s="5">
        <v>0</v>
      </c>
      <c r="L141" s="5">
        <v>0</v>
      </c>
      <c r="M141" s="5">
        <v>31017.485000212677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5">
        <v>0</v>
      </c>
      <c r="U141" s="5">
        <v>0</v>
      </c>
      <c r="V141" s="5">
        <v>266123.66125521989</v>
      </c>
      <c r="W141" s="5">
        <v>0</v>
      </c>
      <c r="X141" s="5">
        <v>0</v>
      </c>
      <c r="Y141" s="5">
        <v>0</v>
      </c>
      <c r="Z141" s="5">
        <v>0</v>
      </c>
      <c r="AA141" s="5">
        <v>0</v>
      </c>
      <c r="AB141" s="5">
        <v>0</v>
      </c>
      <c r="AC141" s="5">
        <v>0</v>
      </c>
      <c r="AD141" s="35"/>
      <c r="AE141" s="1">
        <f t="shared" si="2"/>
        <v>297166.4160560504</v>
      </c>
    </row>
    <row r="142" spans="1:31" s="15" customFormat="1" hidden="1" outlineLevel="2">
      <c r="A142" t="s">
        <v>182</v>
      </c>
      <c r="B142" s="51" t="s">
        <v>179</v>
      </c>
      <c r="C142" s="15" t="s">
        <v>356</v>
      </c>
      <c r="D142" s="5">
        <v>0</v>
      </c>
      <c r="E142" s="5">
        <v>0</v>
      </c>
      <c r="F142" s="5">
        <v>0</v>
      </c>
      <c r="G142" s="5">
        <v>0</v>
      </c>
      <c r="H142" s="5">
        <v>0</v>
      </c>
      <c r="I142" s="5">
        <v>0</v>
      </c>
      <c r="J142" s="5">
        <v>0</v>
      </c>
      <c r="K142" s="5">
        <v>0</v>
      </c>
      <c r="L142" s="5">
        <v>2072.3420667717019</v>
      </c>
      <c r="M142" s="5">
        <v>0</v>
      </c>
      <c r="N142" s="5">
        <v>0</v>
      </c>
      <c r="O142" s="5">
        <v>0</v>
      </c>
      <c r="P142" s="5">
        <v>0</v>
      </c>
      <c r="Q142" s="5">
        <v>0</v>
      </c>
      <c r="R142" s="5">
        <v>0</v>
      </c>
      <c r="S142" s="5">
        <v>0</v>
      </c>
      <c r="T142" s="5">
        <v>0</v>
      </c>
      <c r="U142" s="5">
        <v>0</v>
      </c>
      <c r="V142" s="5">
        <v>0</v>
      </c>
      <c r="W142" s="5">
        <v>0</v>
      </c>
      <c r="X142" s="5">
        <v>0</v>
      </c>
      <c r="Y142" s="5">
        <v>0</v>
      </c>
      <c r="Z142" s="5">
        <v>0</v>
      </c>
      <c r="AA142" s="5">
        <v>-671.33</v>
      </c>
      <c r="AB142" s="5">
        <v>0</v>
      </c>
      <c r="AC142" s="5">
        <v>0</v>
      </c>
      <c r="AD142" s="35"/>
      <c r="AE142" s="1">
        <f t="shared" si="2"/>
        <v>1401.0120667717019</v>
      </c>
    </row>
    <row r="143" spans="1:31" s="15" customFormat="1" hidden="1" outlineLevel="2">
      <c r="A143" t="s">
        <v>182</v>
      </c>
      <c r="B143" s="51" t="s">
        <v>180</v>
      </c>
      <c r="C143" s="15" t="s">
        <v>357</v>
      </c>
      <c r="D143" s="5">
        <v>0</v>
      </c>
      <c r="E143" s="5">
        <v>0</v>
      </c>
      <c r="F143" s="5">
        <v>0</v>
      </c>
      <c r="G143" s="5">
        <v>0</v>
      </c>
      <c r="H143" s="5">
        <v>0</v>
      </c>
      <c r="I143" s="5">
        <v>0</v>
      </c>
      <c r="J143" s="5">
        <v>0</v>
      </c>
      <c r="K143" s="5">
        <v>0</v>
      </c>
      <c r="L143" s="5">
        <v>0</v>
      </c>
      <c r="M143" s="5">
        <v>0</v>
      </c>
      <c r="N143" s="5">
        <v>0</v>
      </c>
      <c r="O143" s="5">
        <v>0</v>
      </c>
      <c r="P143" s="5">
        <v>0</v>
      </c>
      <c r="Q143" s="5">
        <v>0</v>
      </c>
      <c r="R143" s="5">
        <v>0</v>
      </c>
      <c r="S143" s="5">
        <v>0</v>
      </c>
      <c r="T143" s="5">
        <v>0</v>
      </c>
      <c r="U143" s="5">
        <v>0</v>
      </c>
      <c r="V143" s="5">
        <v>0</v>
      </c>
      <c r="W143" s="5">
        <v>0</v>
      </c>
      <c r="X143" s="5">
        <v>0</v>
      </c>
      <c r="Y143" s="5">
        <v>16958.675600039438</v>
      </c>
      <c r="Z143" s="5">
        <v>0</v>
      </c>
      <c r="AA143" s="5">
        <v>0</v>
      </c>
      <c r="AB143" s="5">
        <v>0</v>
      </c>
      <c r="AC143" s="5">
        <v>0</v>
      </c>
      <c r="AD143" s="35"/>
      <c r="AE143" s="1">
        <f t="shared" si="2"/>
        <v>16958.675600039438</v>
      </c>
    </row>
    <row r="144" spans="1:31" s="15" customFormat="1" hidden="1" outlineLevel="2">
      <c r="A144" t="s">
        <v>182</v>
      </c>
      <c r="B144" s="51" t="s">
        <v>181</v>
      </c>
      <c r="C144" s="21" t="s">
        <v>358</v>
      </c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35"/>
      <c r="AE144" s="1">
        <f t="shared" si="2"/>
        <v>0</v>
      </c>
    </row>
    <row r="145" spans="1:31" s="15" customFormat="1" outlineLevel="1" collapsed="1">
      <c r="A145" t="s">
        <v>231</v>
      </c>
      <c r="B145" s="51"/>
      <c r="C145" s="21" t="s">
        <v>11</v>
      </c>
      <c r="D145" s="5">
        <f t="shared" ref="D145:AC145" si="7">SUBTOTAL(9,D120:D144)</f>
        <v>6219.6461084821076</v>
      </c>
      <c r="E145" s="5">
        <f t="shared" si="7"/>
        <v>27009.752206138175</v>
      </c>
      <c r="F145" s="5">
        <f t="shared" si="7"/>
        <v>-12825.809159586726</v>
      </c>
      <c r="G145" s="5">
        <f t="shared" si="7"/>
        <v>0</v>
      </c>
      <c r="H145" s="5">
        <f t="shared" si="7"/>
        <v>0</v>
      </c>
      <c r="I145" s="5">
        <f t="shared" si="7"/>
        <v>77934.130185745307</v>
      </c>
      <c r="J145" s="5">
        <f t="shared" si="7"/>
        <v>60281.094852350085</v>
      </c>
      <c r="K145" s="5">
        <f t="shared" si="7"/>
        <v>0</v>
      </c>
      <c r="L145" s="5">
        <f t="shared" si="7"/>
        <v>35506.407622824743</v>
      </c>
      <c r="M145" s="5">
        <f t="shared" si="7"/>
        <v>84359.187216943712</v>
      </c>
      <c r="N145" s="5">
        <f t="shared" si="7"/>
        <v>0</v>
      </c>
      <c r="O145" s="5">
        <f t="shared" si="7"/>
        <v>101436.35825978675</v>
      </c>
      <c r="P145" s="5">
        <f t="shared" si="7"/>
        <v>38330.176508148608</v>
      </c>
      <c r="Q145" s="5">
        <f t="shared" si="7"/>
        <v>0</v>
      </c>
      <c r="R145" s="5">
        <f t="shared" si="7"/>
        <v>141063.85606912497</v>
      </c>
      <c r="S145" s="5">
        <f t="shared" si="7"/>
        <v>0</v>
      </c>
      <c r="T145" s="5">
        <f t="shared" si="7"/>
        <v>9976.8068321987976</v>
      </c>
      <c r="U145" s="5">
        <f t="shared" si="7"/>
        <v>52913.955480967503</v>
      </c>
      <c r="V145" s="5">
        <f t="shared" si="7"/>
        <v>305333.17369415856</v>
      </c>
      <c r="W145" s="5">
        <f t="shared" si="7"/>
        <v>164239.65412075163</v>
      </c>
      <c r="X145" s="5">
        <f t="shared" si="7"/>
        <v>0</v>
      </c>
      <c r="Y145" s="5">
        <f t="shared" si="7"/>
        <v>27889.988283668688</v>
      </c>
      <c r="Z145" s="5">
        <f t="shared" si="7"/>
        <v>18368.268418346299</v>
      </c>
      <c r="AA145" s="5">
        <f t="shared" si="7"/>
        <v>-1418.0089315235473</v>
      </c>
      <c r="AB145" s="5">
        <f t="shared" si="7"/>
        <v>0</v>
      </c>
      <c r="AC145" s="5">
        <f t="shared" si="7"/>
        <v>0</v>
      </c>
      <c r="AD145" s="35"/>
      <c r="AE145" s="1">
        <f>SUBTOTAL(9,AE120:AE144)</f>
        <v>1136618.6377685259</v>
      </c>
    </row>
    <row r="146" spans="1:31" s="15" customFormat="1" hidden="1" outlineLevel="2">
      <c r="A146" t="s">
        <v>183</v>
      </c>
      <c r="B146" s="51" t="s">
        <v>158</v>
      </c>
      <c r="C146" s="21" t="s">
        <v>334</v>
      </c>
      <c r="D146" s="5">
        <v>237899.97930874437</v>
      </c>
      <c r="E146" s="5">
        <v>0</v>
      </c>
      <c r="F146" s="5">
        <v>0</v>
      </c>
      <c r="G146" s="5">
        <v>0</v>
      </c>
      <c r="H146" s="5">
        <v>0</v>
      </c>
      <c r="I146" s="5">
        <v>0</v>
      </c>
      <c r="J146" s="5">
        <v>0</v>
      </c>
      <c r="K146" s="5">
        <v>0</v>
      </c>
      <c r="L146" s="5">
        <v>0</v>
      </c>
      <c r="M146" s="5">
        <v>0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  <c r="S146" s="5">
        <v>0</v>
      </c>
      <c r="T146" s="5">
        <v>0</v>
      </c>
      <c r="U146" s="5">
        <v>0</v>
      </c>
      <c r="V146" s="5">
        <v>0</v>
      </c>
      <c r="W146" s="5">
        <v>0</v>
      </c>
      <c r="X146" s="5">
        <v>0</v>
      </c>
      <c r="Y146" s="5">
        <v>0</v>
      </c>
      <c r="Z146" s="5">
        <v>0</v>
      </c>
      <c r="AA146" s="5">
        <v>295105.22209665115</v>
      </c>
      <c r="AB146" s="5">
        <v>0</v>
      </c>
      <c r="AC146" s="5">
        <v>0</v>
      </c>
      <c r="AD146" s="35"/>
      <c r="AE146" s="1">
        <f t="shared" si="2"/>
        <v>533005.20140539552</v>
      </c>
    </row>
    <row r="147" spans="1:31" s="15" customFormat="1" hidden="1" outlineLevel="2">
      <c r="A147" t="s">
        <v>183</v>
      </c>
      <c r="B147" s="51" t="s">
        <v>159</v>
      </c>
      <c r="C147" s="21" t="s">
        <v>335</v>
      </c>
      <c r="D147" s="5">
        <v>0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v>0</v>
      </c>
      <c r="M147" s="5">
        <v>0</v>
      </c>
      <c r="N147" s="5">
        <v>0</v>
      </c>
      <c r="O147" s="5">
        <v>0</v>
      </c>
      <c r="P147" s="5">
        <v>0</v>
      </c>
      <c r="Q147" s="5">
        <v>0</v>
      </c>
      <c r="R147" s="5">
        <v>0</v>
      </c>
      <c r="S147" s="5">
        <v>279705.51747839741</v>
      </c>
      <c r="T147" s="5">
        <v>0</v>
      </c>
      <c r="U147" s="5">
        <v>0</v>
      </c>
      <c r="V147" s="5">
        <v>0</v>
      </c>
      <c r="W147" s="5">
        <v>0</v>
      </c>
      <c r="X147" s="5">
        <v>0</v>
      </c>
      <c r="Y147" s="5">
        <v>0</v>
      </c>
      <c r="Z147" s="5">
        <v>0</v>
      </c>
      <c r="AA147" s="5">
        <v>0</v>
      </c>
      <c r="AB147" s="5">
        <v>0</v>
      </c>
      <c r="AC147" s="5">
        <v>0</v>
      </c>
      <c r="AD147" s="35"/>
      <c r="AE147" s="1">
        <f t="shared" si="2"/>
        <v>279705.51747839741</v>
      </c>
    </row>
    <row r="148" spans="1:31" s="15" customFormat="1" hidden="1" outlineLevel="2">
      <c r="A148" t="s">
        <v>183</v>
      </c>
      <c r="B148" s="51" t="s">
        <v>160</v>
      </c>
      <c r="C148" s="21" t="s">
        <v>336</v>
      </c>
      <c r="D148" s="5">
        <v>0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  <c r="J148" s="5">
        <v>58938.8235858763</v>
      </c>
      <c r="K148" s="5">
        <v>0</v>
      </c>
      <c r="L148" s="5">
        <v>0</v>
      </c>
      <c r="M148" s="5">
        <v>0</v>
      </c>
      <c r="N148" s="5">
        <v>0</v>
      </c>
      <c r="O148" s="5">
        <v>0</v>
      </c>
      <c r="P148" s="5">
        <v>0</v>
      </c>
      <c r="Q148" s="5">
        <v>0</v>
      </c>
      <c r="R148" s="5">
        <v>1018449.5802355328</v>
      </c>
      <c r="S148" s="5">
        <v>1047120.1973233774</v>
      </c>
      <c r="T148" s="5">
        <v>0</v>
      </c>
      <c r="U148" s="5">
        <v>0</v>
      </c>
      <c r="V148" s="5">
        <v>0</v>
      </c>
      <c r="W148" s="5">
        <v>30996.339722426987</v>
      </c>
      <c r="X148" s="5">
        <v>0</v>
      </c>
      <c r="Y148" s="5">
        <v>0</v>
      </c>
      <c r="Z148" s="5">
        <v>0</v>
      </c>
      <c r="AA148" s="5">
        <v>0</v>
      </c>
      <c r="AB148" s="5">
        <v>0</v>
      </c>
      <c r="AC148" s="5">
        <v>0</v>
      </c>
      <c r="AD148" s="35"/>
      <c r="AE148" s="1">
        <f t="shared" si="2"/>
        <v>2155504.9408672135</v>
      </c>
    </row>
    <row r="149" spans="1:31" s="15" customFormat="1" hidden="1" outlineLevel="2">
      <c r="A149" t="s">
        <v>183</v>
      </c>
      <c r="B149" s="51" t="s">
        <v>161</v>
      </c>
      <c r="C149" s="21" t="s">
        <v>337</v>
      </c>
      <c r="D149" s="5">
        <v>0</v>
      </c>
      <c r="E149" s="5">
        <v>0</v>
      </c>
      <c r="F149" s="5">
        <v>0</v>
      </c>
      <c r="G149" s="5">
        <v>0</v>
      </c>
      <c r="H149" s="5">
        <v>0</v>
      </c>
      <c r="I149" s="5">
        <v>0</v>
      </c>
      <c r="J149" s="5">
        <v>16849.975873179763</v>
      </c>
      <c r="K149" s="5">
        <v>0</v>
      </c>
      <c r="L149" s="5">
        <v>0</v>
      </c>
      <c r="M149" s="5">
        <v>0</v>
      </c>
      <c r="N149" s="5">
        <v>0</v>
      </c>
      <c r="O149" s="5">
        <v>0</v>
      </c>
      <c r="P149" s="5">
        <v>0</v>
      </c>
      <c r="Q149" s="5">
        <v>0</v>
      </c>
      <c r="R149" s="5">
        <v>0</v>
      </c>
      <c r="S149" s="5">
        <v>803234.86411459325</v>
      </c>
      <c r="T149" s="5">
        <v>0</v>
      </c>
      <c r="U149" s="5">
        <v>0</v>
      </c>
      <c r="V149" s="5">
        <v>0</v>
      </c>
      <c r="W149" s="5">
        <v>15622.388334764299</v>
      </c>
      <c r="X149" s="5">
        <v>0</v>
      </c>
      <c r="Y149" s="5">
        <v>0</v>
      </c>
      <c r="Z149" s="5">
        <v>0</v>
      </c>
      <c r="AA149" s="5">
        <v>0</v>
      </c>
      <c r="AB149" s="5">
        <v>0</v>
      </c>
      <c r="AC149" s="5">
        <v>0</v>
      </c>
      <c r="AD149" s="35"/>
      <c r="AE149" s="1">
        <f t="shared" si="2"/>
        <v>835707.22832253727</v>
      </c>
    </row>
    <row r="150" spans="1:31" s="15" customFormat="1" hidden="1" outlineLevel="2">
      <c r="A150" t="s">
        <v>183</v>
      </c>
      <c r="B150" s="51" t="s">
        <v>162</v>
      </c>
      <c r="C150" s="21" t="s">
        <v>338</v>
      </c>
      <c r="D150" s="5">
        <v>0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5">
        <v>0</v>
      </c>
      <c r="M150" s="5">
        <v>0</v>
      </c>
      <c r="N150" s="5">
        <v>0</v>
      </c>
      <c r="O150" s="5">
        <v>0</v>
      </c>
      <c r="P150" s="5">
        <v>0</v>
      </c>
      <c r="Q150" s="5">
        <v>0</v>
      </c>
      <c r="R150" s="5">
        <v>6596.3042823007891</v>
      </c>
      <c r="S150" s="5">
        <v>0</v>
      </c>
      <c r="T150" s="5">
        <v>0</v>
      </c>
      <c r="U150" s="5">
        <v>0</v>
      </c>
      <c r="V150" s="5">
        <v>0</v>
      </c>
      <c r="W150" s="5">
        <v>0</v>
      </c>
      <c r="X150" s="5">
        <v>0</v>
      </c>
      <c r="Y150" s="5">
        <v>0</v>
      </c>
      <c r="Z150" s="5">
        <v>0</v>
      </c>
      <c r="AA150" s="5">
        <v>0</v>
      </c>
      <c r="AB150" s="5">
        <v>0</v>
      </c>
      <c r="AC150" s="5">
        <v>0</v>
      </c>
      <c r="AD150" s="35"/>
      <c r="AE150" s="1">
        <f t="shared" si="2"/>
        <v>6596.3042823007891</v>
      </c>
    </row>
    <row r="151" spans="1:31" s="15" customFormat="1" hidden="1" outlineLevel="2">
      <c r="A151" t="s">
        <v>183</v>
      </c>
      <c r="B151" s="51" t="s">
        <v>163</v>
      </c>
      <c r="C151" s="21" t="s">
        <v>339</v>
      </c>
      <c r="D151" s="5">
        <v>0</v>
      </c>
      <c r="E151" s="5">
        <v>0</v>
      </c>
      <c r="F151" s="5">
        <v>0</v>
      </c>
      <c r="G151" s="5">
        <v>0</v>
      </c>
      <c r="H151" s="5">
        <v>0</v>
      </c>
      <c r="I151" s="5">
        <v>0</v>
      </c>
      <c r="J151" s="5">
        <v>0</v>
      </c>
      <c r="K151" s="5">
        <v>0</v>
      </c>
      <c r="L151" s="5">
        <v>0</v>
      </c>
      <c r="M151" s="5">
        <v>0</v>
      </c>
      <c r="N151" s="5">
        <v>0</v>
      </c>
      <c r="O151" s="5">
        <v>0</v>
      </c>
      <c r="P151" s="5">
        <v>-125472.8614125735</v>
      </c>
      <c r="Q151" s="5">
        <v>0</v>
      </c>
      <c r="R151" s="5">
        <v>85818.37659056425</v>
      </c>
      <c r="S151" s="5">
        <v>0</v>
      </c>
      <c r="T151" s="5">
        <v>0</v>
      </c>
      <c r="U151" s="5">
        <v>0</v>
      </c>
      <c r="V151" s="5">
        <v>0</v>
      </c>
      <c r="W151" s="5">
        <v>0</v>
      </c>
      <c r="X151" s="5">
        <v>0</v>
      </c>
      <c r="Y151" s="5">
        <v>12416.141198689173</v>
      </c>
      <c r="Z151" s="5">
        <v>0</v>
      </c>
      <c r="AA151" s="5">
        <v>0</v>
      </c>
      <c r="AB151" s="5">
        <v>0</v>
      </c>
      <c r="AC151" s="5">
        <v>0</v>
      </c>
      <c r="AD151" s="35"/>
      <c r="AE151" s="1">
        <f t="shared" si="2"/>
        <v>-27238.343623320081</v>
      </c>
    </row>
    <row r="152" spans="1:31" s="15" customFormat="1" hidden="1" outlineLevel="2">
      <c r="A152" t="s">
        <v>183</v>
      </c>
      <c r="B152" s="51" t="s">
        <v>164</v>
      </c>
      <c r="C152" s="21" t="s">
        <v>340</v>
      </c>
      <c r="D152" s="5">
        <v>0</v>
      </c>
      <c r="E152" s="5">
        <v>0</v>
      </c>
      <c r="F152" s="5">
        <v>0</v>
      </c>
      <c r="G152" s="5">
        <v>0</v>
      </c>
      <c r="H152" s="5">
        <v>0</v>
      </c>
      <c r="I152" s="5">
        <v>0</v>
      </c>
      <c r="J152" s="5">
        <v>0</v>
      </c>
      <c r="K152" s="5">
        <v>0</v>
      </c>
      <c r="L152" s="5">
        <v>0</v>
      </c>
      <c r="M152" s="5">
        <v>0</v>
      </c>
      <c r="N152" s="5">
        <v>0</v>
      </c>
      <c r="O152" s="5">
        <v>0</v>
      </c>
      <c r="P152" s="5">
        <v>0</v>
      </c>
      <c r="Q152" s="5">
        <v>0</v>
      </c>
      <c r="R152" s="5">
        <v>0</v>
      </c>
      <c r="S152" s="5">
        <v>0</v>
      </c>
      <c r="T152" s="5">
        <v>0</v>
      </c>
      <c r="U152" s="5">
        <v>0</v>
      </c>
      <c r="V152" s="5">
        <v>0</v>
      </c>
      <c r="W152" s="5">
        <v>0</v>
      </c>
      <c r="X152" s="5">
        <v>0</v>
      </c>
      <c r="Y152" s="5">
        <v>0</v>
      </c>
      <c r="Z152" s="5">
        <v>0</v>
      </c>
      <c r="AA152" s="5">
        <v>46240.613257993034</v>
      </c>
      <c r="AB152" s="5">
        <v>0</v>
      </c>
      <c r="AC152" s="5">
        <v>0</v>
      </c>
      <c r="AD152" s="35"/>
      <c r="AE152" s="1">
        <f t="shared" si="2"/>
        <v>46240.613257993034</v>
      </c>
    </row>
    <row r="153" spans="1:31" s="15" customFormat="1" hidden="1" outlineLevel="2">
      <c r="A153" t="s">
        <v>183</v>
      </c>
      <c r="B153" s="51" t="s">
        <v>165</v>
      </c>
      <c r="C153" s="21" t="s">
        <v>341</v>
      </c>
      <c r="D153" s="5">
        <v>0</v>
      </c>
      <c r="E153" s="5">
        <v>0</v>
      </c>
      <c r="F153" s="5">
        <v>0</v>
      </c>
      <c r="G153" s="5">
        <v>0</v>
      </c>
      <c r="H153" s="5">
        <v>0</v>
      </c>
      <c r="I153" s="5">
        <v>0</v>
      </c>
      <c r="J153" s="5">
        <v>0</v>
      </c>
      <c r="K153" s="5">
        <v>0</v>
      </c>
      <c r="L153" s="5">
        <v>0</v>
      </c>
      <c r="M153" s="5"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5">
        <v>0</v>
      </c>
      <c r="T153" s="5">
        <v>0</v>
      </c>
      <c r="U153" s="5">
        <v>0</v>
      </c>
      <c r="V153" s="5">
        <v>0</v>
      </c>
      <c r="W153" s="5">
        <v>0</v>
      </c>
      <c r="X153" s="5">
        <v>0</v>
      </c>
      <c r="Y153" s="5">
        <v>0</v>
      </c>
      <c r="Z153" s="5">
        <v>814016.23796319787</v>
      </c>
      <c r="AA153" s="5">
        <v>278156.52910322073</v>
      </c>
      <c r="AB153" s="5">
        <v>0</v>
      </c>
      <c r="AC153" s="5">
        <v>0</v>
      </c>
      <c r="AD153" s="35"/>
      <c r="AE153" s="1">
        <f t="shared" si="2"/>
        <v>1092172.7670664187</v>
      </c>
    </row>
    <row r="154" spans="1:31" s="15" customFormat="1" hidden="1" outlineLevel="2">
      <c r="A154" t="s">
        <v>183</v>
      </c>
      <c r="B154" s="51" t="s">
        <v>166</v>
      </c>
      <c r="C154" s="21" t="s">
        <v>342</v>
      </c>
      <c r="D154" s="5">
        <v>0</v>
      </c>
      <c r="E154" s="5">
        <v>0</v>
      </c>
      <c r="F154" s="5">
        <v>0</v>
      </c>
      <c r="G154" s="5">
        <v>0</v>
      </c>
      <c r="H154" s="5">
        <v>0</v>
      </c>
      <c r="I154" s="5">
        <v>0</v>
      </c>
      <c r="J154" s="5">
        <v>174327.42976667307</v>
      </c>
      <c r="K154" s="5">
        <v>0</v>
      </c>
      <c r="L154" s="5">
        <v>0</v>
      </c>
      <c r="M154" s="5">
        <v>0</v>
      </c>
      <c r="N154" s="5">
        <v>0</v>
      </c>
      <c r="O154" s="5">
        <v>0</v>
      </c>
      <c r="P154" s="5">
        <v>-101167.86158033136</v>
      </c>
      <c r="Q154" s="5">
        <v>0</v>
      </c>
      <c r="R154" s="5">
        <v>86993.340065324272</v>
      </c>
      <c r="S154" s="5">
        <v>644023.16297834949</v>
      </c>
      <c r="T154" s="5">
        <v>0</v>
      </c>
      <c r="U154" s="5">
        <v>0</v>
      </c>
      <c r="V154" s="5">
        <v>0</v>
      </c>
      <c r="W154" s="5">
        <v>40003.838684102106</v>
      </c>
      <c r="X154" s="5">
        <v>0</v>
      </c>
      <c r="Y154" s="5">
        <v>8380.6404164177675</v>
      </c>
      <c r="Z154" s="5">
        <v>0</v>
      </c>
      <c r="AA154" s="5">
        <v>0</v>
      </c>
      <c r="AB154" s="5">
        <v>0</v>
      </c>
      <c r="AC154" s="5">
        <v>0</v>
      </c>
      <c r="AD154" s="35"/>
      <c r="AE154" s="1">
        <f t="shared" si="2"/>
        <v>852560.55033053528</v>
      </c>
    </row>
    <row r="155" spans="1:31" s="15" customFormat="1" hidden="1" outlineLevel="2">
      <c r="A155" t="s">
        <v>183</v>
      </c>
      <c r="B155" s="51" t="s">
        <v>167</v>
      </c>
      <c r="C155" s="21" t="s">
        <v>343</v>
      </c>
      <c r="D155" s="5">
        <v>3948.733587349042</v>
      </c>
      <c r="E155" s="5">
        <v>0</v>
      </c>
      <c r="F155" s="5">
        <v>0</v>
      </c>
      <c r="G155" s="5">
        <v>0</v>
      </c>
      <c r="H155" s="5">
        <v>0</v>
      </c>
      <c r="I155" s="5">
        <v>0</v>
      </c>
      <c r="J155" s="5">
        <v>0</v>
      </c>
      <c r="K155" s="5">
        <v>0</v>
      </c>
      <c r="L155" s="5">
        <v>0</v>
      </c>
      <c r="M155" s="5">
        <v>0</v>
      </c>
      <c r="N155" s="5">
        <v>0</v>
      </c>
      <c r="O155" s="5">
        <v>0</v>
      </c>
      <c r="P155" s="5">
        <v>0</v>
      </c>
      <c r="Q155" s="5">
        <v>0</v>
      </c>
      <c r="R155" s="5">
        <v>0</v>
      </c>
      <c r="S155" s="5">
        <v>0</v>
      </c>
      <c r="T155" s="5">
        <v>0</v>
      </c>
      <c r="U155" s="5">
        <v>0</v>
      </c>
      <c r="V155" s="5">
        <v>0</v>
      </c>
      <c r="W155" s="5">
        <v>0</v>
      </c>
      <c r="X155" s="5">
        <v>0</v>
      </c>
      <c r="Y155" s="5">
        <v>0</v>
      </c>
      <c r="Z155" s="5">
        <v>683359.91461927013</v>
      </c>
      <c r="AA155" s="5">
        <v>556193.80295690894</v>
      </c>
      <c r="AB155" s="5">
        <v>0</v>
      </c>
      <c r="AC155" s="5">
        <v>0</v>
      </c>
      <c r="AD155" s="35"/>
      <c r="AE155" s="1">
        <f t="shared" si="2"/>
        <v>1243502.451163528</v>
      </c>
    </row>
    <row r="156" spans="1:31" s="15" customFormat="1" hidden="1" outlineLevel="2">
      <c r="A156" t="s">
        <v>183</v>
      </c>
      <c r="B156" s="51" t="s">
        <v>168</v>
      </c>
      <c r="C156" s="21" t="s">
        <v>344</v>
      </c>
      <c r="D156" s="5">
        <v>0</v>
      </c>
      <c r="E156" s="5">
        <v>35368.421757229422</v>
      </c>
      <c r="F156" s="5">
        <v>0</v>
      </c>
      <c r="G156" s="5">
        <v>0</v>
      </c>
      <c r="H156" s="5">
        <v>0</v>
      </c>
      <c r="I156" s="5">
        <v>0</v>
      </c>
      <c r="J156" s="5">
        <v>0</v>
      </c>
      <c r="K156" s="5">
        <v>0</v>
      </c>
      <c r="L156" s="5">
        <v>0</v>
      </c>
      <c r="M156" s="5">
        <v>0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  <c r="S156" s="5">
        <v>0</v>
      </c>
      <c r="T156" s="5">
        <v>0</v>
      </c>
      <c r="U156" s="5">
        <v>0</v>
      </c>
      <c r="V156" s="5">
        <v>0</v>
      </c>
      <c r="W156" s="5">
        <v>0</v>
      </c>
      <c r="X156" s="5">
        <v>0</v>
      </c>
      <c r="Y156" s="5">
        <v>0</v>
      </c>
      <c r="Z156" s="5">
        <v>0</v>
      </c>
      <c r="AA156" s="5">
        <v>252897.32285575333</v>
      </c>
      <c r="AB156" s="5">
        <v>0</v>
      </c>
      <c r="AC156" s="5">
        <v>0</v>
      </c>
      <c r="AD156" s="35"/>
      <c r="AE156" s="1">
        <f t="shared" si="2"/>
        <v>288265.74461298273</v>
      </c>
    </row>
    <row r="157" spans="1:31" s="15" customFormat="1" hidden="1" outlineLevel="2">
      <c r="A157" t="s">
        <v>183</v>
      </c>
      <c r="B157" s="51" t="s">
        <v>169</v>
      </c>
      <c r="C157" s="21" t="s">
        <v>345</v>
      </c>
      <c r="D157" s="5">
        <v>0</v>
      </c>
      <c r="E157" s="5">
        <v>0</v>
      </c>
      <c r="F157" s="5">
        <v>-20121.082022723036</v>
      </c>
      <c r="G157" s="5">
        <v>0</v>
      </c>
      <c r="H157" s="5">
        <v>0</v>
      </c>
      <c r="I157" s="5">
        <v>0</v>
      </c>
      <c r="J157" s="5">
        <v>0</v>
      </c>
      <c r="K157" s="5">
        <v>0</v>
      </c>
      <c r="L157" s="5">
        <v>0</v>
      </c>
      <c r="M157" s="5">
        <v>0</v>
      </c>
      <c r="N157" s="5">
        <v>0</v>
      </c>
      <c r="O157" s="5">
        <v>0</v>
      </c>
      <c r="P157" s="5">
        <v>0</v>
      </c>
      <c r="Q157" s="5">
        <v>0</v>
      </c>
      <c r="R157" s="5">
        <v>0</v>
      </c>
      <c r="S157" s="5">
        <v>0</v>
      </c>
      <c r="T157" s="5">
        <v>0</v>
      </c>
      <c r="U157" s="5">
        <v>0</v>
      </c>
      <c r="V157" s="5">
        <v>0</v>
      </c>
      <c r="W157" s="5">
        <v>0</v>
      </c>
      <c r="X157" s="5">
        <v>0</v>
      </c>
      <c r="Y157" s="5">
        <v>0</v>
      </c>
      <c r="Z157" s="5">
        <v>0</v>
      </c>
      <c r="AA157" s="5">
        <v>0</v>
      </c>
      <c r="AB157" s="5">
        <v>0</v>
      </c>
      <c r="AC157" s="5">
        <v>0</v>
      </c>
      <c r="AD157" s="35"/>
      <c r="AE157" s="1">
        <f t="shared" si="2"/>
        <v>-20121.082022723036</v>
      </c>
    </row>
    <row r="158" spans="1:31" s="15" customFormat="1" hidden="1" outlineLevel="2">
      <c r="A158" t="s">
        <v>183</v>
      </c>
      <c r="B158" s="51" t="s">
        <v>170</v>
      </c>
      <c r="C158" s="21" t="s">
        <v>346</v>
      </c>
      <c r="D158" s="5">
        <v>0</v>
      </c>
      <c r="E158" s="5">
        <v>0</v>
      </c>
      <c r="F158" s="5">
        <v>0</v>
      </c>
      <c r="G158" s="5">
        <v>-3577.1189390703066</v>
      </c>
      <c r="H158" s="5">
        <v>0</v>
      </c>
      <c r="I158" s="5">
        <v>0</v>
      </c>
      <c r="J158" s="5">
        <v>0</v>
      </c>
      <c r="K158" s="5">
        <v>0</v>
      </c>
      <c r="L158" s="5">
        <v>0</v>
      </c>
      <c r="M158" s="5">
        <v>0</v>
      </c>
      <c r="N158" s="5">
        <v>0</v>
      </c>
      <c r="O158" s="5">
        <v>0</v>
      </c>
      <c r="P158" s="5">
        <v>0</v>
      </c>
      <c r="Q158" s="5">
        <v>0</v>
      </c>
      <c r="R158" s="5">
        <v>0</v>
      </c>
      <c r="S158" s="5">
        <v>0</v>
      </c>
      <c r="T158" s="5">
        <v>0</v>
      </c>
      <c r="U158" s="5">
        <v>0</v>
      </c>
      <c r="V158" s="5">
        <v>0</v>
      </c>
      <c r="W158" s="5">
        <v>0</v>
      </c>
      <c r="X158" s="5">
        <v>0</v>
      </c>
      <c r="Y158" s="5">
        <v>0</v>
      </c>
      <c r="Z158" s="5">
        <v>0</v>
      </c>
      <c r="AA158" s="5">
        <v>0</v>
      </c>
      <c r="AB158" s="5">
        <v>0</v>
      </c>
      <c r="AC158" s="5">
        <v>0</v>
      </c>
      <c r="AD158" s="35"/>
      <c r="AE158" s="1">
        <f t="shared" si="2"/>
        <v>-3577.1189390703066</v>
      </c>
    </row>
    <row r="159" spans="1:31" s="15" customFormat="1" hidden="1" outlineLevel="2">
      <c r="A159" t="s">
        <v>183</v>
      </c>
      <c r="B159" s="51" t="s">
        <v>171</v>
      </c>
      <c r="C159" s="21" t="s">
        <v>347</v>
      </c>
      <c r="D159" s="5">
        <v>0</v>
      </c>
      <c r="E159" s="5">
        <v>0</v>
      </c>
      <c r="F159" s="5">
        <v>0</v>
      </c>
      <c r="G159" s="5">
        <v>0</v>
      </c>
      <c r="H159" s="5">
        <v>515540.80580428109</v>
      </c>
      <c r="I159" s="5">
        <v>0</v>
      </c>
      <c r="J159" s="5">
        <v>0</v>
      </c>
      <c r="K159" s="5">
        <v>0</v>
      </c>
      <c r="L159" s="5">
        <v>0</v>
      </c>
      <c r="M159" s="5">
        <v>0</v>
      </c>
      <c r="N159" s="5">
        <v>0</v>
      </c>
      <c r="O159" s="5">
        <v>0</v>
      </c>
      <c r="P159" s="5">
        <v>0</v>
      </c>
      <c r="Q159" s="5">
        <v>0</v>
      </c>
      <c r="R159" s="5">
        <v>35069.684089847186</v>
      </c>
      <c r="S159" s="5">
        <v>0</v>
      </c>
      <c r="T159" s="5">
        <v>0</v>
      </c>
      <c r="U159" s="5">
        <v>0</v>
      </c>
      <c r="V159" s="5">
        <v>0</v>
      </c>
      <c r="W159" s="5">
        <v>0</v>
      </c>
      <c r="X159" s="5">
        <v>0</v>
      </c>
      <c r="Y159" s="5">
        <v>0</v>
      </c>
      <c r="Z159" s="5">
        <v>0</v>
      </c>
      <c r="AA159" s="5">
        <v>0</v>
      </c>
      <c r="AB159" s="5">
        <v>0</v>
      </c>
      <c r="AC159" s="5">
        <v>0</v>
      </c>
      <c r="AD159" s="35"/>
      <c r="AE159" s="1">
        <f t="shared" si="2"/>
        <v>550610.48989412829</v>
      </c>
    </row>
    <row r="160" spans="1:31" s="15" customFormat="1" hidden="1" outlineLevel="2">
      <c r="A160" t="s">
        <v>183</v>
      </c>
      <c r="B160" s="51" t="s">
        <v>172</v>
      </c>
      <c r="C160" s="21" t="s">
        <v>348</v>
      </c>
      <c r="D160" s="5">
        <v>0</v>
      </c>
      <c r="E160" s="5">
        <v>0</v>
      </c>
      <c r="F160" s="5">
        <v>0</v>
      </c>
      <c r="G160" s="5">
        <v>0</v>
      </c>
      <c r="H160" s="5">
        <v>0</v>
      </c>
      <c r="I160" s="5">
        <v>71639.445400416502</v>
      </c>
      <c r="J160" s="5">
        <v>213400.83863391669</v>
      </c>
      <c r="K160" s="5">
        <v>-9083.1475491193014</v>
      </c>
      <c r="L160" s="5">
        <v>0</v>
      </c>
      <c r="M160" s="5">
        <v>0</v>
      </c>
      <c r="N160" s="5">
        <v>15920.886693817381</v>
      </c>
      <c r="O160" s="5">
        <v>5656.8149275954684</v>
      </c>
      <c r="P160" s="5">
        <v>0</v>
      </c>
      <c r="Q160" s="5">
        <v>0</v>
      </c>
      <c r="R160" s="5">
        <v>0</v>
      </c>
      <c r="S160" s="5">
        <v>0</v>
      </c>
      <c r="T160" s="5">
        <v>0</v>
      </c>
      <c r="U160" s="5">
        <v>129557.31715946429</v>
      </c>
      <c r="V160" s="5">
        <v>18899.070834391983</v>
      </c>
      <c r="W160" s="5">
        <v>0</v>
      </c>
      <c r="X160" s="5">
        <v>0</v>
      </c>
      <c r="Y160" s="5">
        <v>0</v>
      </c>
      <c r="Z160" s="5">
        <v>0</v>
      </c>
      <c r="AA160" s="5">
        <v>0</v>
      </c>
      <c r="AB160" s="5">
        <v>0</v>
      </c>
      <c r="AC160" s="5">
        <v>0</v>
      </c>
      <c r="AD160" s="35"/>
      <c r="AE160" s="1">
        <f t="shared" si="2"/>
        <v>445991.22610048304</v>
      </c>
    </row>
    <row r="161" spans="1:31" s="15" customFormat="1" hidden="1" outlineLevel="2">
      <c r="A161" t="s">
        <v>183</v>
      </c>
      <c r="B161" s="51" t="s">
        <v>173</v>
      </c>
      <c r="C161" s="21" t="s">
        <v>349</v>
      </c>
      <c r="D161" s="5">
        <v>0</v>
      </c>
      <c r="E161" s="5">
        <v>0</v>
      </c>
      <c r="F161" s="5">
        <v>0</v>
      </c>
      <c r="G161" s="5">
        <v>0</v>
      </c>
      <c r="H161" s="5">
        <v>0</v>
      </c>
      <c r="I161" s="5">
        <v>0</v>
      </c>
      <c r="J161" s="5">
        <v>223783.49807233521</v>
      </c>
      <c r="K161" s="5">
        <v>0</v>
      </c>
      <c r="L161" s="5">
        <v>0</v>
      </c>
      <c r="M161" s="5">
        <v>0</v>
      </c>
      <c r="N161" s="5">
        <v>0</v>
      </c>
      <c r="O161" s="5">
        <v>0</v>
      </c>
      <c r="P161" s="5">
        <v>0</v>
      </c>
      <c r="Q161" s="5">
        <v>0</v>
      </c>
      <c r="R161" s="5">
        <v>0</v>
      </c>
      <c r="S161" s="5">
        <v>0</v>
      </c>
      <c r="T161" s="5">
        <v>0</v>
      </c>
      <c r="U161" s="5">
        <v>4129.4981092706103</v>
      </c>
      <c r="V161" s="5">
        <v>0</v>
      </c>
      <c r="W161" s="5">
        <v>119392.13229609378</v>
      </c>
      <c r="X161" s="5">
        <v>0</v>
      </c>
      <c r="Y161" s="5">
        <v>0</v>
      </c>
      <c r="Z161" s="5">
        <v>0</v>
      </c>
      <c r="AA161" s="5">
        <v>0</v>
      </c>
      <c r="AB161" s="5">
        <v>0</v>
      </c>
      <c r="AC161" s="5">
        <v>0</v>
      </c>
      <c r="AD161" s="35"/>
      <c r="AE161" s="1">
        <f t="shared" si="2"/>
        <v>347305.12847769959</v>
      </c>
    </row>
    <row r="162" spans="1:31" s="15" customFormat="1" hidden="1" outlineLevel="2">
      <c r="A162" t="s">
        <v>183</v>
      </c>
      <c r="B162" s="51" t="s">
        <v>174</v>
      </c>
      <c r="C162" s="21" t="s">
        <v>350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5">
        <v>1001864.647770217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0</v>
      </c>
      <c r="T162" s="5">
        <v>0</v>
      </c>
      <c r="U162" s="5">
        <v>0</v>
      </c>
      <c r="V162" s="5">
        <v>0</v>
      </c>
      <c r="W162" s="5">
        <v>0</v>
      </c>
      <c r="X162" s="5">
        <v>0</v>
      </c>
      <c r="Y162" s="5">
        <v>0</v>
      </c>
      <c r="Z162" s="5">
        <v>0</v>
      </c>
      <c r="AA162" s="5">
        <v>173239.11482185812</v>
      </c>
      <c r="AB162" s="5">
        <v>0</v>
      </c>
      <c r="AC162" s="5">
        <v>0</v>
      </c>
      <c r="AD162" s="35"/>
      <c r="AE162" s="1">
        <f t="shared" si="2"/>
        <v>1175103.7625920752</v>
      </c>
    </row>
    <row r="163" spans="1:31" s="15" customFormat="1" hidden="1" outlineLevel="2">
      <c r="A163" t="s">
        <v>183</v>
      </c>
      <c r="B163" s="51" t="s">
        <v>175</v>
      </c>
      <c r="C163" s="15" t="s">
        <v>351</v>
      </c>
      <c r="D163" s="5">
        <v>0</v>
      </c>
      <c r="E163" s="5">
        <v>0</v>
      </c>
      <c r="F163" s="5">
        <v>0</v>
      </c>
      <c r="G163" s="5">
        <v>0</v>
      </c>
      <c r="H163" s="5">
        <v>0</v>
      </c>
      <c r="I163" s="5">
        <v>0</v>
      </c>
      <c r="J163" s="5">
        <v>0</v>
      </c>
      <c r="K163" s="5">
        <v>0</v>
      </c>
      <c r="L163" s="5">
        <v>0</v>
      </c>
      <c r="M163" s="5">
        <v>0</v>
      </c>
      <c r="N163" s="5">
        <v>0</v>
      </c>
      <c r="O163" s="5">
        <v>0</v>
      </c>
      <c r="P163" s="5">
        <v>0</v>
      </c>
      <c r="Q163" s="5">
        <v>0</v>
      </c>
      <c r="R163" s="5">
        <v>0</v>
      </c>
      <c r="S163" s="5">
        <v>0</v>
      </c>
      <c r="T163" s="5">
        <v>0</v>
      </c>
      <c r="U163" s="5">
        <v>0</v>
      </c>
      <c r="V163" s="5">
        <v>0</v>
      </c>
      <c r="W163" s="5">
        <v>0</v>
      </c>
      <c r="X163" s="5">
        <v>96732.438348177675</v>
      </c>
      <c r="Y163" s="5">
        <v>0</v>
      </c>
      <c r="Z163" s="5">
        <v>0</v>
      </c>
      <c r="AA163" s="5">
        <v>0</v>
      </c>
      <c r="AB163" s="5">
        <v>0</v>
      </c>
      <c r="AC163" s="5">
        <v>26191.822950621543</v>
      </c>
      <c r="AD163" s="35"/>
      <c r="AE163" s="1">
        <f t="shared" si="2"/>
        <v>122924.26129879922</v>
      </c>
    </row>
    <row r="164" spans="1:31" s="15" customFormat="1" hidden="1" outlineLevel="2">
      <c r="A164" t="s">
        <v>183</v>
      </c>
      <c r="B164" s="51" t="s">
        <v>176</v>
      </c>
      <c r="C164" s="15" t="s">
        <v>352</v>
      </c>
      <c r="D164" s="5">
        <v>0</v>
      </c>
      <c r="E164" s="5">
        <v>0</v>
      </c>
      <c r="F164" s="5">
        <v>0</v>
      </c>
      <c r="G164" s="5">
        <v>0</v>
      </c>
      <c r="H164" s="5">
        <v>0</v>
      </c>
      <c r="I164" s="5">
        <v>0</v>
      </c>
      <c r="J164" s="5">
        <v>0</v>
      </c>
      <c r="K164" s="5">
        <v>0</v>
      </c>
      <c r="L164" s="5">
        <v>0</v>
      </c>
      <c r="M164" s="5">
        <v>111185.09977415173</v>
      </c>
      <c r="N164" s="5">
        <v>52646.530599563237</v>
      </c>
      <c r="O164" s="5">
        <v>51672.422105917125</v>
      </c>
      <c r="P164" s="5">
        <v>0</v>
      </c>
      <c r="Q164" s="5">
        <v>0</v>
      </c>
      <c r="R164" s="5">
        <v>0</v>
      </c>
      <c r="S164" s="5">
        <v>0</v>
      </c>
      <c r="T164" s="5">
        <v>13064.322249091732</v>
      </c>
      <c r="U164" s="5">
        <v>0</v>
      </c>
      <c r="V164" s="5">
        <v>33974.370700172636</v>
      </c>
      <c r="W164" s="5">
        <v>0</v>
      </c>
      <c r="X164" s="5">
        <v>0</v>
      </c>
      <c r="Y164" s="5">
        <v>0</v>
      </c>
      <c r="Z164" s="5">
        <v>0</v>
      </c>
      <c r="AA164" s="5">
        <v>0</v>
      </c>
      <c r="AB164" s="5">
        <v>-17671.322367392233</v>
      </c>
      <c r="AC164" s="5">
        <v>0</v>
      </c>
      <c r="AD164" s="35"/>
      <c r="AE164" s="1">
        <f t="shared" si="2"/>
        <v>244871.4230615042</v>
      </c>
    </row>
    <row r="165" spans="1:31" s="15" customFormat="1" hidden="1" outlineLevel="2">
      <c r="A165" t="s">
        <v>183</v>
      </c>
      <c r="B165" s="51" t="s">
        <v>177</v>
      </c>
      <c r="C165" s="21" t="s">
        <v>353</v>
      </c>
      <c r="D165" s="5">
        <v>0</v>
      </c>
      <c r="E165" s="5">
        <v>0</v>
      </c>
      <c r="F165" s="5">
        <v>0</v>
      </c>
      <c r="G165" s="5">
        <v>0</v>
      </c>
      <c r="H165" s="5">
        <v>0</v>
      </c>
      <c r="I165" s="5">
        <v>-67745.132671406856</v>
      </c>
      <c r="J165" s="5">
        <v>57524.816094746464</v>
      </c>
      <c r="K165" s="5">
        <v>0</v>
      </c>
      <c r="L165" s="5">
        <v>0</v>
      </c>
      <c r="M165" s="5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5">
        <v>0</v>
      </c>
      <c r="U165" s="5">
        <v>189025.58327129247</v>
      </c>
      <c r="V165" s="5">
        <v>20061.073380197537</v>
      </c>
      <c r="W165" s="5">
        <v>0</v>
      </c>
      <c r="X165" s="5">
        <v>0</v>
      </c>
      <c r="Y165" s="5">
        <v>0</v>
      </c>
      <c r="Z165" s="5">
        <v>0</v>
      </c>
      <c r="AA165" s="5">
        <v>0</v>
      </c>
      <c r="AB165" s="5">
        <v>0</v>
      </c>
      <c r="AC165" s="5">
        <v>0</v>
      </c>
      <c r="AD165" s="35"/>
      <c r="AE165" s="1">
        <f t="shared" si="2"/>
        <v>198866.34007482961</v>
      </c>
    </row>
    <row r="166" spans="1:31" s="15" customFormat="1" hidden="1" outlineLevel="2">
      <c r="A166" t="s">
        <v>183</v>
      </c>
      <c r="B166" s="51" t="s">
        <v>238</v>
      </c>
      <c r="C166" s="21" t="s">
        <v>354</v>
      </c>
      <c r="D166" s="5">
        <v>0</v>
      </c>
      <c r="E166" s="5">
        <v>0</v>
      </c>
      <c r="F166" s="5">
        <v>0</v>
      </c>
      <c r="G166" s="5">
        <v>0</v>
      </c>
      <c r="H166" s="5">
        <v>0</v>
      </c>
      <c r="I166" s="5">
        <v>0</v>
      </c>
      <c r="J166" s="5">
        <v>0</v>
      </c>
      <c r="K166" s="5">
        <v>0</v>
      </c>
      <c r="L166" s="5">
        <v>0</v>
      </c>
      <c r="M166" s="5">
        <v>0</v>
      </c>
      <c r="N166" s="5">
        <v>0</v>
      </c>
      <c r="O166" s="5">
        <v>0</v>
      </c>
      <c r="P166" s="5">
        <v>0</v>
      </c>
      <c r="Q166" s="5">
        <v>0</v>
      </c>
      <c r="R166" s="5">
        <v>0</v>
      </c>
      <c r="S166" s="5">
        <v>0</v>
      </c>
      <c r="T166" s="5">
        <v>0</v>
      </c>
      <c r="U166" s="5">
        <v>0</v>
      </c>
      <c r="V166" s="5">
        <v>0</v>
      </c>
      <c r="W166" s="5">
        <v>9051.9544434205454</v>
      </c>
      <c r="X166" s="5">
        <v>0</v>
      </c>
      <c r="Y166" s="5">
        <v>0</v>
      </c>
      <c r="Z166" s="5">
        <v>0</v>
      </c>
      <c r="AA166" s="5">
        <v>0</v>
      </c>
      <c r="AB166" s="5">
        <v>0</v>
      </c>
      <c r="AC166" s="5">
        <v>0</v>
      </c>
      <c r="AD166" s="35"/>
      <c r="AE166" s="1">
        <f t="shared" si="2"/>
        <v>9051.9544434205454</v>
      </c>
    </row>
    <row r="167" spans="1:31" s="15" customFormat="1" hidden="1" outlineLevel="2">
      <c r="A167" t="s">
        <v>183</v>
      </c>
      <c r="B167" s="51" t="s">
        <v>178</v>
      </c>
      <c r="C167" s="15" t="s">
        <v>355</v>
      </c>
      <c r="D167" s="5">
        <v>0</v>
      </c>
      <c r="E167" s="5">
        <v>0</v>
      </c>
      <c r="F167" s="5">
        <v>0</v>
      </c>
      <c r="G167" s="5">
        <v>0</v>
      </c>
      <c r="H167" s="5">
        <v>0</v>
      </c>
      <c r="I167" s="5">
        <v>0</v>
      </c>
      <c r="J167" s="5">
        <v>0</v>
      </c>
      <c r="K167" s="5">
        <v>0</v>
      </c>
      <c r="L167" s="5">
        <v>0</v>
      </c>
      <c r="M167" s="5">
        <v>-166258.62325244423</v>
      </c>
      <c r="N167" s="5">
        <v>201893.84541717917</v>
      </c>
      <c r="O167" s="5">
        <v>0</v>
      </c>
      <c r="P167" s="5">
        <v>0</v>
      </c>
      <c r="Q167" s="5">
        <v>0</v>
      </c>
      <c r="R167" s="5">
        <v>0</v>
      </c>
      <c r="S167" s="5">
        <v>0</v>
      </c>
      <c r="T167" s="5">
        <v>0</v>
      </c>
      <c r="U167" s="5">
        <v>0</v>
      </c>
      <c r="V167" s="5">
        <v>441176.34166595119</v>
      </c>
      <c r="W167" s="5">
        <v>0</v>
      </c>
      <c r="X167" s="5">
        <v>0</v>
      </c>
      <c r="Y167" s="5">
        <v>0</v>
      </c>
      <c r="Z167" s="5">
        <v>0</v>
      </c>
      <c r="AA167" s="5">
        <v>0</v>
      </c>
      <c r="AB167" s="5">
        <v>0</v>
      </c>
      <c r="AC167" s="5">
        <v>0</v>
      </c>
      <c r="AD167" s="35"/>
      <c r="AE167" s="1">
        <f t="shared" si="2"/>
        <v>476811.56383068615</v>
      </c>
    </row>
    <row r="168" spans="1:31" s="15" customFormat="1" hidden="1" outlineLevel="2">
      <c r="A168" t="s">
        <v>183</v>
      </c>
      <c r="B168" s="51" t="s">
        <v>179</v>
      </c>
      <c r="C168" s="15" t="s">
        <v>356</v>
      </c>
      <c r="D168" s="5">
        <v>0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5">
        <v>2713.666309144468</v>
      </c>
      <c r="M168" s="5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v>0</v>
      </c>
      <c r="U168" s="5">
        <v>0</v>
      </c>
      <c r="V168" s="5">
        <v>0</v>
      </c>
      <c r="W168" s="5">
        <v>0</v>
      </c>
      <c r="X168" s="5">
        <v>0</v>
      </c>
      <c r="Y168" s="5">
        <v>0</v>
      </c>
      <c r="Z168" s="5">
        <v>0</v>
      </c>
      <c r="AA168" s="5">
        <v>-879.08</v>
      </c>
      <c r="AB168" s="5">
        <v>0</v>
      </c>
      <c r="AC168" s="5">
        <v>0</v>
      </c>
      <c r="AD168" s="35"/>
      <c r="AE168" s="1">
        <f t="shared" si="2"/>
        <v>1834.586309144468</v>
      </c>
    </row>
    <row r="169" spans="1:31" s="15" customFormat="1" hidden="1" outlineLevel="2">
      <c r="A169" t="s">
        <v>183</v>
      </c>
      <c r="B169" s="51" t="s">
        <v>180</v>
      </c>
      <c r="C169" s="15" t="s">
        <v>357</v>
      </c>
      <c r="D169" s="5">
        <v>0</v>
      </c>
      <c r="E169" s="5">
        <v>0</v>
      </c>
      <c r="F169" s="5">
        <v>0</v>
      </c>
      <c r="G169" s="5">
        <v>0</v>
      </c>
      <c r="H169" s="5">
        <v>0</v>
      </c>
      <c r="I169" s="5">
        <v>0</v>
      </c>
      <c r="J169" s="5">
        <v>0</v>
      </c>
      <c r="K169" s="5">
        <v>0</v>
      </c>
      <c r="L169" s="5">
        <v>0</v>
      </c>
      <c r="M169" s="5">
        <v>0</v>
      </c>
      <c r="N169" s="5">
        <v>0</v>
      </c>
      <c r="O169" s="5">
        <v>0</v>
      </c>
      <c r="P169" s="5">
        <v>-1152.4069022439899</v>
      </c>
      <c r="Q169" s="5">
        <v>0</v>
      </c>
      <c r="R169" s="5">
        <v>0</v>
      </c>
      <c r="S169" s="5">
        <v>0</v>
      </c>
      <c r="T169" s="5">
        <v>0</v>
      </c>
      <c r="U169" s="5">
        <v>0</v>
      </c>
      <c r="V169" s="5">
        <v>0</v>
      </c>
      <c r="W169" s="5">
        <v>0</v>
      </c>
      <c r="X169" s="5">
        <v>0</v>
      </c>
      <c r="Y169" s="5">
        <v>25024.648429592646</v>
      </c>
      <c r="Z169" s="5">
        <v>0</v>
      </c>
      <c r="AA169" s="5">
        <v>0</v>
      </c>
      <c r="AB169" s="5">
        <v>0</v>
      </c>
      <c r="AC169" s="5">
        <v>0</v>
      </c>
      <c r="AD169" s="35"/>
      <c r="AE169" s="1">
        <f t="shared" si="2"/>
        <v>23872.241527348655</v>
      </c>
    </row>
    <row r="170" spans="1:31" s="15" customFormat="1" hidden="1" outlineLevel="2">
      <c r="A170" t="s">
        <v>183</v>
      </c>
      <c r="B170" s="51" t="s">
        <v>181</v>
      </c>
      <c r="C170" s="21" t="s">
        <v>358</v>
      </c>
      <c r="D170" s="5">
        <v>0</v>
      </c>
      <c r="E170" s="5">
        <v>0</v>
      </c>
      <c r="F170" s="5">
        <v>0</v>
      </c>
      <c r="G170" s="5">
        <v>0</v>
      </c>
      <c r="H170" s="5">
        <v>0</v>
      </c>
      <c r="I170" s="5">
        <v>0</v>
      </c>
      <c r="J170" s="5">
        <v>0</v>
      </c>
      <c r="K170" s="5">
        <v>0</v>
      </c>
      <c r="L170" s="5">
        <v>0</v>
      </c>
      <c r="M170" s="5">
        <v>0</v>
      </c>
      <c r="N170" s="5">
        <v>0</v>
      </c>
      <c r="O170" s="5">
        <v>0</v>
      </c>
      <c r="P170" s="5">
        <v>0</v>
      </c>
      <c r="Q170" s="5">
        <v>0</v>
      </c>
      <c r="R170" s="5">
        <v>0</v>
      </c>
      <c r="S170" s="5">
        <v>0</v>
      </c>
      <c r="T170" s="5">
        <v>0</v>
      </c>
      <c r="U170" s="5">
        <v>0</v>
      </c>
      <c r="V170" s="5">
        <v>0</v>
      </c>
      <c r="W170" s="5">
        <v>0</v>
      </c>
      <c r="X170" s="5">
        <v>0</v>
      </c>
      <c r="Y170" s="5">
        <v>0</v>
      </c>
      <c r="Z170" s="5">
        <v>0</v>
      </c>
      <c r="AA170" s="5">
        <v>0</v>
      </c>
      <c r="AB170" s="5">
        <v>78934.397510127979</v>
      </c>
      <c r="AC170" s="5">
        <v>0</v>
      </c>
      <c r="AD170" s="35"/>
      <c r="AE170" s="1">
        <f t="shared" si="2"/>
        <v>78934.397510127979</v>
      </c>
    </row>
    <row r="171" spans="1:31" s="15" customFormat="1" outlineLevel="1" collapsed="1">
      <c r="A171" t="s">
        <v>232</v>
      </c>
      <c r="B171" s="51"/>
      <c r="C171" s="21" t="s">
        <v>12</v>
      </c>
      <c r="D171" s="5">
        <f t="shared" ref="D171:AC171" si="8">SUBTOTAL(9,D146:D170)</f>
        <v>241848.71289609341</v>
      </c>
      <c r="E171" s="5">
        <f t="shared" si="8"/>
        <v>35368.421757229422</v>
      </c>
      <c r="F171" s="5">
        <f t="shared" si="8"/>
        <v>-20121.082022723036</v>
      </c>
      <c r="G171" s="5">
        <f t="shared" si="8"/>
        <v>-3577.1189390703066</v>
      </c>
      <c r="H171" s="5">
        <f t="shared" si="8"/>
        <v>515540.80580428109</v>
      </c>
      <c r="I171" s="5">
        <f t="shared" si="8"/>
        <v>3894.3127290096454</v>
      </c>
      <c r="J171" s="5">
        <f t="shared" si="8"/>
        <v>744825.38202672743</v>
      </c>
      <c r="K171" s="5">
        <f t="shared" si="8"/>
        <v>-9083.1475491193014</v>
      </c>
      <c r="L171" s="5">
        <f t="shared" si="8"/>
        <v>1004578.3140793615</v>
      </c>
      <c r="M171" s="5">
        <f t="shared" si="8"/>
        <v>-55073.523478292496</v>
      </c>
      <c r="N171" s="5">
        <f t="shared" si="8"/>
        <v>270461.26271055976</v>
      </c>
      <c r="O171" s="5">
        <f t="shared" si="8"/>
        <v>57329.237033512596</v>
      </c>
      <c r="P171" s="5">
        <f t="shared" si="8"/>
        <v>-227793.12989514886</v>
      </c>
      <c r="Q171" s="5">
        <f t="shared" si="8"/>
        <v>0</v>
      </c>
      <c r="R171" s="5">
        <f t="shared" si="8"/>
        <v>1232927.2852635691</v>
      </c>
      <c r="S171" s="5">
        <f t="shared" si="8"/>
        <v>2774083.7418947173</v>
      </c>
      <c r="T171" s="5">
        <f t="shared" si="8"/>
        <v>13064.322249091732</v>
      </c>
      <c r="U171" s="5">
        <f t="shared" si="8"/>
        <v>322712.39854002738</v>
      </c>
      <c r="V171" s="5">
        <f t="shared" si="8"/>
        <v>514110.85658071336</v>
      </c>
      <c r="W171" s="5">
        <f t="shared" si="8"/>
        <v>215066.6534808077</v>
      </c>
      <c r="X171" s="5">
        <f t="shared" si="8"/>
        <v>96732.438348177675</v>
      </c>
      <c r="Y171" s="5">
        <f t="shared" si="8"/>
        <v>45821.430044699591</v>
      </c>
      <c r="Z171" s="5">
        <f t="shared" si="8"/>
        <v>1497376.152582468</v>
      </c>
      <c r="AA171" s="5">
        <f t="shared" si="8"/>
        <v>1600953.5250923852</v>
      </c>
      <c r="AB171" s="5">
        <f t="shared" si="8"/>
        <v>61263.075142735746</v>
      </c>
      <c r="AC171" s="5">
        <f t="shared" si="8"/>
        <v>26191.822950621543</v>
      </c>
      <c r="AD171" s="35"/>
      <c r="AE171" s="1">
        <f>SUBTOTAL(9,AE146:AE170)</f>
        <v>10958502.149322439</v>
      </c>
    </row>
    <row r="172" spans="1:31" s="15" customFormat="1" hidden="1" outlineLevel="2">
      <c r="A172" t="s">
        <v>194</v>
      </c>
      <c r="B172" s="51" t="s">
        <v>184</v>
      </c>
      <c r="C172" s="21" t="s">
        <v>359</v>
      </c>
      <c r="D172" s="5">
        <v>0</v>
      </c>
      <c r="E172" s="5">
        <v>0</v>
      </c>
      <c r="F172" s="5">
        <v>8405.8463257709118</v>
      </c>
      <c r="G172" s="5">
        <v>0</v>
      </c>
      <c r="H172" s="5">
        <v>0</v>
      </c>
      <c r="I172" s="5">
        <v>0</v>
      </c>
      <c r="J172" s="5">
        <v>0</v>
      </c>
      <c r="K172" s="5">
        <v>0</v>
      </c>
      <c r="L172" s="5">
        <v>0</v>
      </c>
      <c r="M172" s="5">
        <v>0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5">
        <v>0</v>
      </c>
      <c r="T172" s="5">
        <v>0</v>
      </c>
      <c r="U172" s="5">
        <v>0</v>
      </c>
      <c r="V172" s="5">
        <v>0</v>
      </c>
      <c r="W172" s="5">
        <v>0</v>
      </c>
      <c r="X172" s="5">
        <v>0</v>
      </c>
      <c r="Y172" s="5">
        <v>0</v>
      </c>
      <c r="Z172" s="5">
        <v>0</v>
      </c>
      <c r="AA172" s="5">
        <v>0</v>
      </c>
      <c r="AB172" s="5">
        <v>0</v>
      </c>
      <c r="AC172" s="5">
        <v>0</v>
      </c>
      <c r="AD172" s="35"/>
      <c r="AE172" s="1">
        <f t="shared" si="2"/>
        <v>8405.8463257709118</v>
      </c>
    </row>
    <row r="173" spans="1:31" s="15" customFormat="1" hidden="1" outlineLevel="2">
      <c r="A173" t="s">
        <v>194</v>
      </c>
      <c r="B173" s="51" t="s">
        <v>185</v>
      </c>
      <c r="C173" s="21" t="s">
        <v>360</v>
      </c>
      <c r="D173" s="5">
        <v>0</v>
      </c>
      <c r="E173" s="5">
        <v>0</v>
      </c>
      <c r="F173" s="5">
        <v>0</v>
      </c>
      <c r="G173" s="5">
        <v>0</v>
      </c>
      <c r="H173" s="5">
        <v>0</v>
      </c>
      <c r="I173" s="5">
        <v>0</v>
      </c>
      <c r="J173" s="5">
        <v>4938.6549207483768</v>
      </c>
      <c r="K173" s="5">
        <v>0</v>
      </c>
      <c r="L173" s="5">
        <v>0</v>
      </c>
      <c r="M173" s="5">
        <v>0</v>
      </c>
      <c r="N173" s="5">
        <v>0</v>
      </c>
      <c r="O173" s="5">
        <v>0</v>
      </c>
      <c r="P173" s="5">
        <v>5210.0255049089365</v>
      </c>
      <c r="Q173" s="5">
        <v>0</v>
      </c>
      <c r="R173" s="5">
        <v>20166.540019958273</v>
      </c>
      <c r="S173" s="5">
        <v>29529.016146878726</v>
      </c>
      <c r="T173" s="5">
        <v>0</v>
      </c>
      <c r="U173" s="5">
        <v>538.6865005731072</v>
      </c>
      <c r="V173" s="5">
        <v>0</v>
      </c>
      <c r="W173" s="5">
        <v>24761.932146604588</v>
      </c>
      <c r="X173" s="5">
        <v>0</v>
      </c>
      <c r="Y173" s="5">
        <v>10664.21965501974</v>
      </c>
      <c r="Z173" s="5">
        <v>0</v>
      </c>
      <c r="AA173" s="5">
        <v>0</v>
      </c>
      <c r="AB173" s="5">
        <v>0</v>
      </c>
      <c r="AC173" s="5">
        <v>0</v>
      </c>
      <c r="AD173" s="35"/>
      <c r="AE173" s="1">
        <f t="shared" si="2"/>
        <v>95809.074894691745</v>
      </c>
    </row>
    <row r="174" spans="1:31" s="15" customFormat="1" hidden="1" outlineLevel="2">
      <c r="A174" t="s">
        <v>194</v>
      </c>
      <c r="B174" s="51" t="s">
        <v>186</v>
      </c>
      <c r="C174" s="15" t="s">
        <v>361</v>
      </c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35"/>
      <c r="AE174" s="1">
        <f t="shared" si="2"/>
        <v>0</v>
      </c>
    </row>
    <row r="175" spans="1:31" s="15" customFormat="1" hidden="1" outlineLevel="2">
      <c r="A175" t="s">
        <v>194</v>
      </c>
      <c r="B175" s="51" t="s">
        <v>187</v>
      </c>
      <c r="C175" s="21" t="s">
        <v>362</v>
      </c>
      <c r="D175" s="5">
        <v>0</v>
      </c>
      <c r="E175" s="5">
        <v>0</v>
      </c>
      <c r="F175" s="5">
        <v>0</v>
      </c>
      <c r="G175" s="5">
        <v>2773.6556612521504</v>
      </c>
      <c r="H175" s="5">
        <v>0</v>
      </c>
      <c r="I175" s="5">
        <v>14298.265310936662</v>
      </c>
      <c r="J175" s="5">
        <v>84727.395792580894</v>
      </c>
      <c r="K175" s="5">
        <v>4020.4342007953869</v>
      </c>
      <c r="L175" s="5">
        <v>0</v>
      </c>
      <c r="M175" s="5">
        <v>14845.127027825878</v>
      </c>
      <c r="N175" s="5">
        <v>0</v>
      </c>
      <c r="O175" s="5">
        <v>13077.727081016712</v>
      </c>
      <c r="P175" s="5">
        <v>0</v>
      </c>
      <c r="Q175" s="5">
        <v>0</v>
      </c>
      <c r="R175" s="5">
        <v>0</v>
      </c>
      <c r="S175" s="5">
        <v>0</v>
      </c>
      <c r="T175" s="5">
        <v>1861.9058317410258</v>
      </c>
      <c r="U175" s="5">
        <v>10446.165934585595</v>
      </c>
      <c r="V175" s="5">
        <v>34335.455667686023</v>
      </c>
      <c r="W175" s="5">
        <v>1637.047853321578</v>
      </c>
      <c r="X175" s="5">
        <v>0</v>
      </c>
      <c r="Y175" s="5">
        <v>0</v>
      </c>
      <c r="Z175" s="5">
        <v>0</v>
      </c>
      <c r="AA175" s="5">
        <v>0</v>
      </c>
      <c r="AB175" s="5">
        <v>0</v>
      </c>
      <c r="AC175" s="5">
        <v>0</v>
      </c>
      <c r="AD175" s="35"/>
      <c r="AE175" s="1">
        <f t="shared" si="2"/>
        <v>182023.18036174189</v>
      </c>
    </row>
    <row r="176" spans="1:31" s="15" customFormat="1" hidden="1" outlineLevel="2">
      <c r="A176" t="s">
        <v>194</v>
      </c>
      <c r="B176" s="51" t="s">
        <v>188</v>
      </c>
      <c r="C176" s="21" t="s">
        <v>363</v>
      </c>
      <c r="D176" s="5">
        <v>1213.8957229565442</v>
      </c>
      <c r="E176" s="5">
        <v>6285.1924751137485</v>
      </c>
      <c r="F176" s="5">
        <v>0</v>
      </c>
      <c r="G176" s="5">
        <v>0</v>
      </c>
      <c r="H176" s="5">
        <v>0</v>
      </c>
      <c r="I176" s="5">
        <v>0</v>
      </c>
      <c r="J176" s="5">
        <v>0</v>
      </c>
      <c r="K176" s="5">
        <v>0</v>
      </c>
      <c r="L176" s="5">
        <v>8383.1311893174261</v>
      </c>
      <c r="M176" s="5">
        <v>0</v>
      </c>
      <c r="N176" s="5">
        <v>0</v>
      </c>
      <c r="O176" s="5">
        <v>0</v>
      </c>
      <c r="P176" s="5">
        <v>0</v>
      </c>
      <c r="Q176" s="5">
        <v>0</v>
      </c>
      <c r="R176" s="5">
        <v>0</v>
      </c>
      <c r="S176" s="5">
        <v>0</v>
      </c>
      <c r="T176" s="5">
        <v>0</v>
      </c>
      <c r="U176" s="5">
        <v>0</v>
      </c>
      <c r="V176" s="5">
        <v>0</v>
      </c>
      <c r="W176" s="5">
        <v>0</v>
      </c>
      <c r="X176" s="5">
        <v>0</v>
      </c>
      <c r="Y176" s="5">
        <v>0</v>
      </c>
      <c r="Z176" s="5">
        <v>3103.3516857140858</v>
      </c>
      <c r="AA176" s="5">
        <v>-297.62405423995847</v>
      </c>
      <c r="AB176" s="5">
        <v>0</v>
      </c>
      <c r="AC176" s="5">
        <v>0</v>
      </c>
      <c r="AD176" s="35"/>
      <c r="AE176" s="1">
        <f t="shared" si="2"/>
        <v>18687.947018861847</v>
      </c>
    </row>
    <row r="177" spans="1:31" s="15" customFormat="1" outlineLevel="1" collapsed="1">
      <c r="A177" t="s">
        <v>233</v>
      </c>
      <c r="B177" s="51"/>
      <c r="C177" s="21" t="s">
        <v>13</v>
      </c>
      <c r="D177" s="5">
        <f t="shared" ref="D177:AC177" si="9">SUBTOTAL(9,D172:D176)</f>
        <v>1213.8957229565442</v>
      </c>
      <c r="E177" s="5">
        <f t="shared" si="9"/>
        <v>6285.1924751137485</v>
      </c>
      <c r="F177" s="5">
        <f t="shared" si="9"/>
        <v>8405.8463257709118</v>
      </c>
      <c r="G177" s="5">
        <f t="shared" si="9"/>
        <v>2773.6556612521504</v>
      </c>
      <c r="H177" s="5">
        <f t="shared" si="9"/>
        <v>0</v>
      </c>
      <c r="I177" s="5">
        <f t="shared" si="9"/>
        <v>14298.265310936662</v>
      </c>
      <c r="J177" s="5">
        <f t="shared" si="9"/>
        <v>89666.05071332927</v>
      </c>
      <c r="K177" s="5">
        <f t="shared" si="9"/>
        <v>4020.4342007953869</v>
      </c>
      <c r="L177" s="5">
        <f t="shared" si="9"/>
        <v>8383.1311893174261</v>
      </c>
      <c r="M177" s="5">
        <f t="shared" si="9"/>
        <v>14845.127027825878</v>
      </c>
      <c r="N177" s="5">
        <f t="shared" si="9"/>
        <v>0</v>
      </c>
      <c r="O177" s="5">
        <f t="shared" si="9"/>
        <v>13077.727081016712</v>
      </c>
      <c r="P177" s="5">
        <f t="shared" si="9"/>
        <v>5210.0255049089365</v>
      </c>
      <c r="Q177" s="5">
        <f t="shared" si="9"/>
        <v>0</v>
      </c>
      <c r="R177" s="5">
        <f t="shared" si="9"/>
        <v>20166.540019958273</v>
      </c>
      <c r="S177" s="5">
        <f t="shared" si="9"/>
        <v>29529.016146878726</v>
      </c>
      <c r="T177" s="5">
        <f t="shared" si="9"/>
        <v>1861.9058317410258</v>
      </c>
      <c r="U177" s="5">
        <f t="shared" si="9"/>
        <v>10984.852435158702</v>
      </c>
      <c r="V177" s="5">
        <f t="shared" si="9"/>
        <v>34335.455667686023</v>
      </c>
      <c r="W177" s="5">
        <f t="shared" si="9"/>
        <v>26398.979999926167</v>
      </c>
      <c r="X177" s="5">
        <f t="shared" si="9"/>
        <v>0</v>
      </c>
      <c r="Y177" s="5">
        <f t="shared" si="9"/>
        <v>10664.21965501974</v>
      </c>
      <c r="Z177" s="5">
        <f t="shared" si="9"/>
        <v>3103.3516857140858</v>
      </c>
      <c r="AA177" s="5">
        <f t="shared" si="9"/>
        <v>-297.62405423995847</v>
      </c>
      <c r="AB177" s="5">
        <f t="shared" si="9"/>
        <v>0</v>
      </c>
      <c r="AC177" s="5">
        <f t="shared" si="9"/>
        <v>0</v>
      </c>
      <c r="AD177" s="35"/>
      <c r="AE177" s="1">
        <f>SUBTOTAL(9,AE172:AE176)</f>
        <v>304926.0486010664</v>
      </c>
    </row>
    <row r="178" spans="1:31" s="15" customFormat="1" hidden="1" outlineLevel="2">
      <c r="A178" t="s">
        <v>195</v>
      </c>
      <c r="B178" s="51" t="s">
        <v>184</v>
      </c>
      <c r="C178" s="21" t="s">
        <v>359</v>
      </c>
      <c r="D178" s="5">
        <v>0</v>
      </c>
      <c r="E178" s="5">
        <v>0</v>
      </c>
      <c r="F178" s="5">
        <v>9290.6748863783851</v>
      </c>
      <c r="G178" s="5">
        <v>0</v>
      </c>
      <c r="H178" s="5">
        <v>0</v>
      </c>
      <c r="I178" s="5">
        <v>0</v>
      </c>
      <c r="J178" s="5">
        <v>0</v>
      </c>
      <c r="K178" s="5">
        <v>0</v>
      </c>
      <c r="L178" s="5">
        <v>0</v>
      </c>
      <c r="M178" s="5">
        <v>0</v>
      </c>
      <c r="N178" s="5">
        <v>0</v>
      </c>
      <c r="O178" s="5">
        <v>0</v>
      </c>
      <c r="P178" s="5">
        <v>0</v>
      </c>
      <c r="Q178" s="5">
        <v>0</v>
      </c>
      <c r="R178" s="5">
        <v>0</v>
      </c>
      <c r="S178" s="5">
        <v>0</v>
      </c>
      <c r="T178" s="5">
        <v>0</v>
      </c>
      <c r="U178" s="5">
        <v>0</v>
      </c>
      <c r="V178" s="5">
        <v>0</v>
      </c>
      <c r="W178" s="5">
        <v>0</v>
      </c>
      <c r="X178" s="5">
        <v>0</v>
      </c>
      <c r="Y178" s="5">
        <v>0</v>
      </c>
      <c r="Z178" s="5">
        <v>0</v>
      </c>
      <c r="AA178" s="5">
        <v>0</v>
      </c>
      <c r="AB178" s="5">
        <v>0</v>
      </c>
      <c r="AC178" s="5">
        <v>0</v>
      </c>
      <c r="AD178" s="35"/>
      <c r="AE178" s="1">
        <f t="shared" si="2"/>
        <v>9290.6748863783851</v>
      </c>
    </row>
    <row r="179" spans="1:31" s="15" customFormat="1" hidden="1" outlineLevel="2">
      <c r="A179" t="s">
        <v>195</v>
      </c>
      <c r="B179" s="51" t="s">
        <v>185</v>
      </c>
      <c r="C179" s="21" t="s">
        <v>360</v>
      </c>
      <c r="D179" s="5">
        <v>0</v>
      </c>
      <c r="E179" s="5">
        <v>0</v>
      </c>
      <c r="F179" s="5">
        <v>0</v>
      </c>
      <c r="G179" s="5">
        <v>0</v>
      </c>
      <c r="H179" s="5">
        <v>107882.4533299118</v>
      </c>
      <c r="I179" s="5">
        <v>0</v>
      </c>
      <c r="J179" s="5">
        <v>172986.52003042609</v>
      </c>
      <c r="K179" s="5">
        <v>0</v>
      </c>
      <c r="L179" s="5">
        <v>0</v>
      </c>
      <c r="M179" s="5">
        <v>0</v>
      </c>
      <c r="N179" s="5">
        <v>0</v>
      </c>
      <c r="O179" s="5">
        <v>0</v>
      </c>
      <c r="P179" s="5">
        <v>-28557.452609711323</v>
      </c>
      <c r="Q179" s="5">
        <v>0</v>
      </c>
      <c r="R179" s="5">
        <v>26232.824232585463</v>
      </c>
      <c r="S179" s="5">
        <v>32637.343636023914</v>
      </c>
      <c r="T179" s="5">
        <v>0</v>
      </c>
      <c r="U179" s="5">
        <v>595.36139537027771</v>
      </c>
      <c r="V179" s="5">
        <v>0</v>
      </c>
      <c r="W179" s="5">
        <v>27368.441261444863</v>
      </c>
      <c r="X179" s="5">
        <v>0</v>
      </c>
      <c r="Y179" s="5">
        <v>11058.974411335992</v>
      </c>
      <c r="Z179" s="5">
        <v>0</v>
      </c>
      <c r="AA179" s="5">
        <v>0</v>
      </c>
      <c r="AB179" s="5">
        <v>0</v>
      </c>
      <c r="AC179" s="5">
        <v>0</v>
      </c>
      <c r="AD179" s="35"/>
      <c r="AE179" s="1">
        <f t="shared" si="2"/>
        <v>350204.4656873871</v>
      </c>
    </row>
    <row r="180" spans="1:31" s="15" customFormat="1" hidden="1" outlineLevel="2">
      <c r="A180" t="s">
        <v>195</v>
      </c>
      <c r="B180" s="51" t="s">
        <v>186</v>
      </c>
      <c r="C180" s="15" t="s">
        <v>361</v>
      </c>
      <c r="D180" s="5">
        <v>0</v>
      </c>
      <c r="E180" s="5">
        <v>0</v>
      </c>
      <c r="F180" s="5">
        <v>0</v>
      </c>
      <c r="G180" s="5">
        <v>0</v>
      </c>
      <c r="H180" s="5">
        <v>0</v>
      </c>
      <c r="I180" s="5">
        <v>0</v>
      </c>
      <c r="J180" s="5">
        <v>0</v>
      </c>
      <c r="K180" s="5">
        <v>0</v>
      </c>
      <c r="L180" s="5">
        <v>0</v>
      </c>
      <c r="M180" s="5">
        <v>0</v>
      </c>
      <c r="N180" s="5">
        <v>0</v>
      </c>
      <c r="O180" s="5">
        <v>0</v>
      </c>
      <c r="P180" s="5">
        <v>0</v>
      </c>
      <c r="Q180" s="5">
        <v>0</v>
      </c>
      <c r="R180" s="5">
        <v>0</v>
      </c>
      <c r="S180" s="5">
        <v>0</v>
      </c>
      <c r="T180" s="5">
        <v>0</v>
      </c>
      <c r="U180" s="5">
        <v>0</v>
      </c>
      <c r="V180" s="5">
        <v>0</v>
      </c>
      <c r="W180" s="5">
        <v>0</v>
      </c>
      <c r="X180" s="5">
        <v>19915.340940542152</v>
      </c>
      <c r="Y180" s="5">
        <v>0</v>
      </c>
      <c r="Z180" s="5">
        <v>0</v>
      </c>
      <c r="AA180" s="5">
        <v>0</v>
      </c>
      <c r="AB180" s="5">
        <v>0</v>
      </c>
      <c r="AC180" s="5">
        <v>21343.218476929727</v>
      </c>
      <c r="AD180" s="35"/>
      <c r="AE180" s="1">
        <f t="shared" si="2"/>
        <v>41258.559417471879</v>
      </c>
    </row>
    <row r="181" spans="1:31" s="15" customFormat="1" hidden="1" outlineLevel="2">
      <c r="A181" t="s">
        <v>195</v>
      </c>
      <c r="B181" s="51" t="s">
        <v>187</v>
      </c>
      <c r="C181" s="21" t="s">
        <v>362</v>
      </c>
      <c r="D181" s="5">
        <v>0</v>
      </c>
      <c r="E181" s="5">
        <v>0</v>
      </c>
      <c r="F181" s="5">
        <v>0</v>
      </c>
      <c r="G181" s="5">
        <v>3065.6346782260616</v>
      </c>
      <c r="H181" s="5">
        <v>0</v>
      </c>
      <c r="I181" s="5">
        <v>7987.090952355481</v>
      </c>
      <c r="J181" s="5">
        <v>129594.71603930218</v>
      </c>
      <c r="K181" s="5">
        <v>4443.6388535106908</v>
      </c>
      <c r="L181" s="5">
        <v>0</v>
      </c>
      <c r="M181" s="5">
        <v>13355.744422502492</v>
      </c>
      <c r="N181" s="5">
        <v>39695.554744048393</v>
      </c>
      <c r="O181" s="5">
        <v>9458.5281386675888</v>
      </c>
      <c r="P181" s="5">
        <v>0</v>
      </c>
      <c r="Q181" s="5">
        <v>0</v>
      </c>
      <c r="R181" s="5">
        <v>0</v>
      </c>
      <c r="S181" s="5">
        <v>0</v>
      </c>
      <c r="T181" s="5">
        <v>2057.8880245558717</v>
      </c>
      <c r="U181" s="5">
        <v>47857.462226596785</v>
      </c>
      <c r="V181" s="5">
        <v>54567.789010022687</v>
      </c>
      <c r="W181" s="5">
        <v>1809.3671540737603</v>
      </c>
      <c r="X181" s="5">
        <v>0</v>
      </c>
      <c r="Y181" s="5">
        <v>0</v>
      </c>
      <c r="Z181" s="5">
        <v>0</v>
      </c>
      <c r="AA181" s="5">
        <v>0</v>
      </c>
      <c r="AB181" s="5">
        <v>40821.096196300685</v>
      </c>
      <c r="AC181" s="5">
        <v>0</v>
      </c>
      <c r="AD181" s="35"/>
      <c r="AE181" s="1">
        <f t="shared" si="2"/>
        <v>354714.51044016273</v>
      </c>
    </row>
    <row r="182" spans="1:31" s="15" customFormat="1" hidden="1" outlineLevel="2">
      <c r="A182" t="s">
        <v>195</v>
      </c>
      <c r="B182" s="51" t="s">
        <v>188</v>
      </c>
      <c r="C182" s="21" t="s">
        <v>363</v>
      </c>
      <c r="D182" s="5">
        <v>1341.680009583549</v>
      </c>
      <c r="E182" s="5">
        <v>6946.7953672309905</v>
      </c>
      <c r="F182" s="5">
        <v>0</v>
      </c>
      <c r="G182" s="5">
        <v>0</v>
      </c>
      <c r="H182" s="5">
        <v>0</v>
      </c>
      <c r="I182" s="5">
        <v>0</v>
      </c>
      <c r="J182" s="5">
        <v>0</v>
      </c>
      <c r="K182" s="5">
        <v>0</v>
      </c>
      <c r="L182" s="5">
        <v>175350.87025296947</v>
      </c>
      <c r="M182" s="5">
        <v>0</v>
      </c>
      <c r="N182" s="5">
        <v>0</v>
      </c>
      <c r="O182" s="5">
        <v>0</v>
      </c>
      <c r="P182" s="5">
        <v>0</v>
      </c>
      <c r="Q182" s="5">
        <v>0</v>
      </c>
      <c r="R182" s="5">
        <v>0</v>
      </c>
      <c r="S182" s="5">
        <v>0</v>
      </c>
      <c r="T182" s="5">
        <v>0</v>
      </c>
      <c r="U182" s="5">
        <v>0</v>
      </c>
      <c r="V182" s="5">
        <v>0</v>
      </c>
      <c r="W182" s="5">
        <v>0</v>
      </c>
      <c r="X182" s="5">
        <v>0</v>
      </c>
      <c r="Y182" s="5">
        <v>0</v>
      </c>
      <c r="Z182" s="5">
        <v>250725.46220546513</v>
      </c>
      <c r="AA182" s="5">
        <v>295406.4938914529</v>
      </c>
      <c r="AB182" s="5">
        <v>0</v>
      </c>
      <c r="AC182" s="5">
        <v>0</v>
      </c>
      <c r="AD182" s="35"/>
      <c r="AE182" s="1">
        <f t="shared" si="2"/>
        <v>729771.30172670202</v>
      </c>
    </row>
    <row r="183" spans="1:31" s="15" customFormat="1" outlineLevel="1" collapsed="1">
      <c r="A183" t="s">
        <v>234</v>
      </c>
      <c r="B183" s="51"/>
      <c r="C183" s="21" t="s">
        <v>14</v>
      </c>
      <c r="D183" s="5">
        <f t="shared" ref="D183:AC183" si="10">SUBTOTAL(9,D178:D182)</f>
        <v>1341.680009583549</v>
      </c>
      <c r="E183" s="5">
        <f t="shared" si="10"/>
        <v>6946.7953672309905</v>
      </c>
      <c r="F183" s="5">
        <f t="shared" si="10"/>
        <v>9290.6748863783851</v>
      </c>
      <c r="G183" s="5">
        <f t="shared" si="10"/>
        <v>3065.6346782260616</v>
      </c>
      <c r="H183" s="5">
        <f t="shared" si="10"/>
        <v>107882.4533299118</v>
      </c>
      <c r="I183" s="5">
        <f t="shared" si="10"/>
        <v>7987.090952355481</v>
      </c>
      <c r="J183" s="5">
        <f t="shared" si="10"/>
        <v>302581.23606972827</v>
      </c>
      <c r="K183" s="5">
        <f t="shared" si="10"/>
        <v>4443.6388535106908</v>
      </c>
      <c r="L183" s="5">
        <f t="shared" si="10"/>
        <v>175350.87025296947</v>
      </c>
      <c r="M183" s="5">
        <f t="shared" si="10"/>
        <v>13355.744422502492</v>
      </c>
      <c r="N183" s="5">
        <f t="shared" si="10"/>
        <v>39695.554744048393</v>
      </c>
      <c r="O183" s="5">
        <f t="shared" si="10"/>
        <v>9458.5281386675888</v>
      </c>
      <c r="P183" s="5">
        <f t="shared" si="10"/>
        <v>-28557.452609711323</v>
      </c>
      <c r="Q183" s="5">
        <f t="shared" si="10"/>
        <v>0</v>
      </c>
      <c r="R183" s="5">
        <f t="shared" si="10"/>
        <v>26232.824232585463</v>
      </c>
      <c r="S183" s="5">
        <f t="shared" si="10"/>
        <v>32637.343636023914</v>
      </c>
      <c r="T183" s="5">
        <f t="shared" si="10"/>
        <v>2057.8880245558717</v>
      </c>
      <c r="U183" s="5">
        <f t="shared" si="10"/>
        <v>48452.823621967065</v>
      </c>
      <c r="V183" s="5">
        <f t="shared" si="10"/>
        <v>54567.789010022687</v>
      </c>
      <c r="W183" s="5">
        <f t="shared" si="10"/>
        <v>29177.808415518622</v>
      </c>
      <c r="X183" s="5">
        <f t="shared" si="10"/>
        <v>19915.340940542152</v>
      </c>
      <c r="Y183" s="5">
        <f t="shared" si="10"/>
        <v>11058.974411335992</v>
      </c>
      <c r="Z183" s="5">
        <f t="shared" si="10"/>
        <v>250725.46220546513</v>
      </c>
      <c r="AA183" s="5">
        <f t="shared" si="10"/>
        <v>295406.4938914529</v>
      </c>
      <c r="AB183" s="5">
        <f t="shared" si="10"/>
        <v>40821.096196300685</v>
      </c>
      <c r="AC183" s="5">
        <f t="shared" si="10"/>
        <v>21343.218476929727</v>
      </c>
      <c r="AD183" s="35"/>
      <c r="AE183" s="1">
        <f>SUBTOTAL(9,AE178:AE182)</f>
        <v>1485239.5121581021</v>
      </c>
    </row>
    <row r="184" spans="1:31" s="15" customFormat="1" hidden="1" outlineLevel="2">
      <c r="A184" t="s">
        <v>196</v>
      </c>
      <c r="B184" s="51" t="s">
        <v>189</v>
      </c>
      <c r="C184" s="21" t="s">
        <v>364</v>
      </c>
      <c r="D184" s="5">
        <v>37.089970300487437</v>
      </c>
      <c r="E184" s="5">
        <v>189.68198837472283</v>
      </c>
      <c r="F184" s="5">
        <v>-18.233008741705341</v>
      </c>
      <c r="G184" s="5">
        <v>20.760716683294056</v>
      </c>
      <c r="H184" s="5">
        <v>0</v>
      </c>
      <c r="I184" s="5">
        <v>3.722045558599921</v>
      </c>
      <c r="J184" s="5">
        <v>2540.7947073474743</v>
      </c>
      <c r="K184" s="5">
        <v>0</v>
      </c>
      <c r="L184" s="5">
        <v>255.86825559933695</v>
      </c>
      <c r="M184" s="5">
        <v>579.76187960836251</v>
      </c>
      <c r="N184" s="5">
        <v>181032.12785067677</v>
      </c>
      <c r="O184" s="5">
        <v>334.17570435012487</v>
      </c>
      <c r="P184" s="5">
        <v>272.14659170615397</v>
      </c>
      <c r="Q184" s="5">
        <v>0</v>
      </c>
      <c r="R184" s="5">
        <v>1125.4739150785724</v>
      </c>
      <c r="S184" s="5">
        <v>-542.61565713102118</v>
      </c>
      <c r="T184" s="5">
        <v>7.2975827225269772</v>
      </c>
      <c r="U184" s="5">
        <v>-233.74188023997277</v>
      </c>
      <c r="V184" s="5">
        <v>2441.220309769652</v>
      </c>
      <c r="W184" s="5">
        <v>1234.3893918239553</v>
      </c>
      <c r="X184" s="5">
        <v>0</v>
      </c>
      <c r="Y184" s="5">
        <v>263.22334888410171</v>
      </c>
      <c r="Z184" s="5">
        <v>304.47341780433635</v>
      </c>
      <c r="AA184" s="5">
        <v>-9.0732104714767274</v>
      </c>
      <c r="AB184" s="5">
        <v>2353.5163908577247</v>
      </c>
      <c r="AC184" s="5">
        <v>3034.0490254318606</v>
      </c>
      <c r="AD184" s="35"/>
      <c r="AE184" s="1">
        <f t="shared" si="2"/>
        <v>195226.10933599385</v>
      </c>
    </row>
    <row r="185" spans="1:31" s="15" customFormat="1" hidden="1" outlineLevel="2">
      <c r="A185" t="s">
        <v>196</v>
      </c>
      <c r="B185" s="51" t="s">
        <v>190</v>
      </c>
      <c r="C185" s="21" t="s">
        <v>365</v>
      </c>
      <c r="D185" s="5">
        <v>6.3697543500922524</v>
      </c>
      <c r="E185" s="5">
        <v>32.53652646349741</v>
      </c>
      <c r="F185" s="5">
        <v>-3.6156274667550607</v>
      </c>
      <c r="G185" s="5">
        <v>3.5513311328301267</v>
      </c>
      <c r="H185" s="5">
        <v>0</v>
      </c>
      <c r="I185" s="5">
        <v>1.1578527607861679</v>
      </c>
      <c r="J185" s="5">
        <v>292.17488093865194</v>
      </c>
      <c r="K185" s="5">
        <v>0</v>
      </c>
      <c r="L185" s="5">
        <v>43.9196236110377</v>
      </c>
      <c r="M185" s="5">
        <v>32.749737974741564</v>
      </c>
      <c r="N185">
        <v>16710.073591337819</v>
      </c>
      <c r="O185" s="5">
        <v>0</v>
      </c>
      <c r="P185" s="5">
        <v>0</v>
      </c>
      <c r="Q185" s="5">
        <v>0</v>
      </c>
      <c r="R185" s="5">
        <v>0</v>
      </c>
      <c r="S185" s="5">
        <v>0</v>
      </c>
      <c r="T185" s="5">
        <v>0</v>
      </c>
      <c r="U185" s="5">
        <v>156.35565777480909</v>
      </c>
      <c r="V185" s="5">
        <v>282.91232330974253</v>
      </c>
      <c r="W185" s="5">
        <v>138.39018824678286</v>
      </c>
      <c r="X185" s="5">
        <v>0</v>
      </c>
      <c r="Y185" s="5">
        <v>0</v>
      </c>
      <c r="Z185" s="5">
        <v>52.198919841270232</v>
      </c>
      <c r="AA185" s="5">
        <v>-49.670285123028556</v>
      </c>
      <c r="AB185" s="5">
        <v>0</v>
      </c>
      <c r="AC185" s="5">
        <v>520.17909773796725</v>
      </c>
      <c r="AD185" s="35"/>
      <c r="AE185" s="1">
        <f t="shared" si="2"/>
        <v>18219.283572890246</v>
      </c>
    </row>
    <row r="186" spans="1:31" s="15" customFormat="1" hidden="1" outlineLevel="2">
      <c r="A186" t="s">
        <v>196</v>
      </c>
      <c r="B186" s="51" t="s">
        <v>191</v>
      </c>
      <c r="C186" s="21" t="s">
        <v>366</v>
      </c>
      <c r="D186" s="5">
        <v>14.588433572068416</v>
      </c>
      <c r="E186" s="5">
        <v>74.618793538721008</v>
      </c>
      <c r="F186" s="5">
        <v>-6.967541612065757</v>
      </c>
      <c r="G186" s="5">
        <v>8.1576746287047488</v>
      </c>
      <c r="H186" s="5">
        <v>0</v>
      </c>
      <c r="I186" s="5">
        <v>57.563955373298278</v>
      </c>
      <c r="J186" s="5">
        <v>999.43704683998124</v>
      </c>
      <c r="K186" s="5">
        <v>0</v>
      </c>
      <c r="L186" s="5">
        <v>100.74302310495194</v>
      </c>
      <c r="M186" s="5">
        <v>152.92430592832395</v>
      </c>
      <c r="N186" s="5">
        <v>34447.879173370762</v>
      </c>
      <c r="O186" s="5">
        <v>732.36842805482411</v>
      </c>
      <c r="P186" s="5">
        <v>0</v>
      </c>
      <c r="Q186" s="5">
        <v>0</v>
      </c>
      <c r="R186" s="5">
        <v>145.98493117675255</v>
      </c>
      <c r="S186" s="5">
        <v>1492.8158172489952</v>
      </c>
      <c r="T186" s="5">
        <v>80.428899569550921</v>
      </c>
      <c r="U186" s="5">
        <v>405.54129810213544</v>
      </c>
      <c r="V186" s="5">
        <v>309.21138038433691</v>
      </c>
      <c r="W186" s="5">
        <v>489.30954530581624</v>
      </c>
      <c r="X186" s="5">
        <v>0</v>
      </c>
      <c r="Y186" s="5">
        <v>76.293040855330446</v>
      </c>
      <c r="Z186" s="5">
        <v>119.7504994999921</v>
      </c>
      <c r="AA186" s="5">
        <v>-3.5707182266940709</v>
      </c>
      <c r="AB186" s="5">
        <v>925.7648873729745</v>
      </c>
      <c r="AC186" s="5">
        <v>1193.4483215008763</v>
      </c>
      <c r="AD186" s="35"/>
      <c r="AE186" s="1">
        <f t="shared" si="2"/>
        <v>41816.291195589642</v>
      </c>
    </row>
    <row r="187" spans="1:31" s="15" customFormat="1" hidden="1" outlineLevel="2">
      <c r="A187" t="s">
        <v>196</v>
      </c>
      <c r="B187" s="51" t="s">
        <v>192</v>
      </c>
      <c r="C187" s="21" t="s">
        <v>367</v>
      </c>
      <c r="D187" s="5">
        <v>11.712782431508911</v>
      </c>
      <c r="E187" s="5">
        <v>59.884676500028405</v>
      </c>
      <c r="F187" s="5">
        <v>0</v>
      </c>
      <c r="G187" s="5">
        <v>137.51638274522841</v>
      </c>
      <c r="H187" s="5">
        <v>0</v>
      </c>
      <c r="I187" s="5">
        <v>2.0890425506608894</v>
      </c>
      <c r="J187" s="5">
        <v>798.27755502264881</v>
      </c>
      <c r="K187" s="5">
        <v>0</v>
      </c>
      <c r="L187" s="5">
        <v>80.895084810676494</v>
      </c>
      <c r="M187" s="5">
        <v>0</v>
      </c>
      <c r="N187" s="5">
        <v>0</v>
      </c>
      <c r="O187" s="5">
        <v>0</v>
      </c>
      <c r="P187" s="5">
        <v>0</v>
      </c>
      <c r="Q187" s="5">
        <v>0</v>
      </c>
      <c r="R187" s="5">
        <v>117.23772517082291</v>
      </c>
      <c r="S187" s="5">
        <v>1198.6969834024392</v>
      </c>
      <c r="T187" s="5">
        <v>0</v>
      </c>
      <c r="U187" s="5">
        <v>288.03309052211239</v>
      </c>
      <c r="V187" s="5">
        <v>0</v>
      </c>
      <c r="W187" s="5">
        <v>392.89658078637376</v>
      </c>
      <c r="X187" s="5">
        <v>0</v>
      </c>
      <c r="Y187" s="5">
        <v>61.26408629412439</v>
      </c>
      <c r="Z187" s="5">
        <v>96.160390866340052</v>
      </c>
      <c r="AA187" s="5">
        <v>-2.8724435579081362</v>
      </c>
      <c r="AB187" s="5">
        <v>721.10155961702173</v>
      </c>
      <c r="AC187" s="5">
        <v>958.2983502606952</v>
      </c>
      <c r="AD187" s="35"/>
      <c r="AE187" s="1">
        <f t="shared" si="2"/>
        <v>4921.1918474227732</v>
      </c>
    </row>
    <row r="188" spans="1:31" s="15" customFormat="1" hidden="1" outlineLevel="2">
      <c r="A188" t="s">
        <v>196</v>
      </c>
      <c r="B188" s="51" t="s">
        <v>193</v>
      </c>
      <c r="C188" s="21" t="s">
        <v>368</v>
      </c>
      <c r="D188" s="5">
        <v>3.8224447942784225</v>
      </c>
      <c r="E188" s="5">
        <v>19.568031532670368</v>
      </c>
      <c r="F188" s="5">
        <v>-1.8345970904618352</v>
      </c>
      <c r="G188" s="5">
        <v>44.88575701766446</v>
      </c>
      <c r="H188" s="5">
        <v>0</v>
      </c>
      <c r="I188" s="5">
        <v>15.079648643903511</v>
      </c>
      <c r="J188" s="5">
        <v>94.60394243444577</v>
      </c>
      <c r="K188" s="5">
        <v>0</v>
      </c>
      <c r="L188" s="5">
        <v>26.402687820655768</v>
      </c>
      <c r="M188" s="5">
        <v>40.881684271182756</v>
      </c>
      <c r="N188" s="5">
        <v>8886.6322594573976</v>
      </c>
      <c r="O188" s="5">
        <v>34.458861599653154</v>
      </c>
      <c r="P188" s="5">
        <v>0</v>
      </c>
      <c r="Q188" s="5">
        <v>0</v>
      </c>
      <c r="R188" s="5">
        <v>38.279000373826207</v>
      </c>
      <c r="S188" s="5">
        <v>391.24549132379883</v>
      </c>
      <c r="T188" s="5">
        <v>21.077415156802488</v>
      </c>
      <c r="U188" s="5">
        <v>97.07918612524098</v>
      </c>
      <c r="V188" s="5">
        <v>83.267503753980947</v>
      </c>
      <c r="W188" s="5">
        <v>51.811705373187152</v>
      </c>
      <c r="X188" s="5">
        <v>0</v>
      </c>
      <c r="Y188" s="5">
        <v>20.002254214734855</v>
      </c>
      <c r="Z188" s="5">
        <v>31.396074741232351</v>
      </c>
      <c r="AA188" s="5">
        <v>-0.94210249409838864</v>
      </c>
      <c r="AB188" s="5">
        <v>242.67625741791511</v>
      </c>
      <c r="AC188" s="5">
        <v>312.84524263326227</v>
      </c>
      <c r="AD188" s="35"/>
      <c r="AE188" s="1">
        <f t="shared" si="2"/>
        <v>10453.238749101272</v>
      </c>
    </row>
    <row r="189" spans="1:31" s="15" customFormat="1" outlineLevel="1" collapsed="1">
      <c r="A189" t="s">
        <v>235</v>
      </c>
      <c r="B189" s="51"/>
      <c r="C189" s="21" t="s">
        <v>15</v>
      </c>
      <c r="D189" s="5">
        <f t="shared" ref="D189:AC189" si="11">SUBTOTAL(9,D184:D188)</f>
        <v>73.583385448435436</v>
      </c>
      <c r="E189" s="5">
        <f t="shared" si="11"/>
        <v>376.29001640963997</v>
      </c>
      <c r="F189" s="5">
        <f t="shared" si="11"/>
        <v>-30.650774910987991</v>
      </c>
      <c r="G189" s="5">
        <f t="shared" si="11"/>
        <v>214.87186220772179</v>
      </c>
      <c r="H189" s="5">
        <f t="shared" si="11"/>
        <v>0</v>
      </c>
      <c r="I189" s="5">
        <f t="shared" si="11"/>
        <v>79.61254488724876</v>
      </c>
      <c r="J189" s="5">
        <f t="shared" si="11"/>
        <v>4725.2881325832013</v>
      </c>
      <c r="K189" s="5">
        <f t="shared" si="11"/>
        <v>0</v>
      </c>
      <c r="L189" s="5">
        <f t="shared" si="11"/>
        <v>507.82867494665885</v>
      </c>
      <c r="M189" s="5">
        <f t="shared" si="11"/>
        <v>806.31760778261082</v>
      </c>
      <c r="N189" s="5">
        <f t="shared" si="11"/>
        <v>241076.71287484278</v>
      </c>
      <c r="O189" s="5">
        <f t="shared" si="11"/>
        <v>1101.002994004602</v>
      </c>
      <c r="P189" s="5">
        <f t="shared" si="11"/>
        <v>272.14659170615397</v>
      </c>
      <c r="Q189" s="5">
        <f t="shared" si="11"/>
        <v>0</v>
      </c>
      <c r="R189" s="5">
        <f t="shared" si="11"/>
        <v>1426.975571799974</v>
      </c>
      <c r="S189" s="5">
        <f t="shared" si="11"/>
        <v>2540.1426348442119</v>
      </c>
      <c r="T189" s="5">
        <f t="shared" si="11"/>
        <v>108.80389744888039</v>
      </c>
      <c r="U189" s="5">
        <f t="shared" si="11"/>
        <v>713.26735228432517</v>
      </c>
      <c r="V189" s="5">
        <f t="shared" si="11"/>
        <v>3116.6115172177124</v>
      </c>
      <c r="W189" s="5">
        <f t="shared" si="11"/>
        <v>2306.7974115361153</v>
      </c>
      <c r="X189" s="5">
        <f t="shared" si="11"/>
        <v>0</v>
      </c>
      <c r="Y189" s="5">
        <f t="shared" si="11"/>
        <v>420.78273024829144</v>
      </c>
      <c r="Z189" s="5">
        <f t="shared" si="11"/>
        <v>603.97930275317117</v>
      </c>
      <c r="AA189" s="5">
        <f t="shared" si="11"/>
        <v>-66.12875987320588</v>
      </c>
      <c r="AB189" s="5">
        <f t="shared" si="11"/>
        <v>4243.0590952656357</v>
      </c>
      <c r="AC189" s="5">
        <f t="shared" si="11"/>
        <v>6018.8200375646611</v>
      </c>
      <c r="AD189" s="35"/>
      <c r="AE189" s="1">
        <f>SUBTOTAL(9,AE184:AE188)</f>
        <v>270636.11470099777</v>
      </c>
    </row>
    <row r="190" spans="1:31" hidden="1" outlineLevel="2">
      <c r="A190" t="s">
        <v>197</v>
      </c>
      <c r="B190" s="51" t="s">
        <v>189</v>
      </c>
      <c r="C190" s="21" t="s">
        <v>364</v>
      </c>
      <c r="D190" s="1">
        <v>2184.2269624119194</v>
      </c>
      <c r="E190" s="1">
        <v>808.64952938697616</v>
      </c>
      <c r="F190" s="1">
        <v>-77.758089898848908</v>
      </c>
      <c r="G190" s="1">
        <v>88.510423755096042</v>
      </c>
      <c r="H190" s="1">
        <v>12800.528419796463</v>
      </c>
      <c r="I190" s="1">
        <v>15.793684949896036</v>
      </c>
      <c r="J190" s="1">
        <v>84546.180166621372</v>
      </c>
      <c r="K190" s="1">
        <v>15057.007305458827</v>
      </c>
      <c r="L190" s="1">
        <v>29960.958232919638</v>
      </c>
      <c r="M190" s="1">
        <v>1084.8466959123198</v>
      </c>
      <c r="N190" s="1">
        <v>-81456.570650345238</v>
      </c>
      <c r="O190" s="1">
        <v>1424.6706676461254</v>
      </c>
      <c r="P190" s="1">
        <v>-5054.6718024895417</v>
      </c>
      <c r="Q190" s="1">
        <v>0</v>
      </c>
      <c r="R190" s="1">
        <v>4801.9968538928215</v>
      </c>
      <c r="S190" s="1">
        <v>-2313.2483277690826</v>
      </c>
      <c r="T190" s="1">
        <v>31.137589501299505</v>
      </c>
      <c r="U190" s="1">
        <v>2720.4478810897967</v>
      </c>
      <c r="V190" s="1">
        <v>12561.769365580869</v>
      </c>
      <c r="W190" s="1">
        <v>5262.5713567050152</v>
      </c>
      <c r="X190" s="1">
        <v>3713.9664425469987</v>
      </c>
      <c r="Y190" s="1">
        <v>1822.9628109314172</v>
      </c>
      <c r="Z190" s="1">
        <v>19214.097731715912</v>
      </c>
      <c r="AA190" s="1">
        <v>69454.431601280274</v>
      </c>
      <c r="AB190" s="1">
        <v>1615.6139136016179</v>
      </c>
      <c r="AC190" s="1">
        <v>4694.0315772343101</v>
      </c>
      <c r="AE190" s="1">
        <f t="shared" si="2"/>
        <v>184962.15034243625</v>
      </c>
    </row>
    <row r="191" spans="1:31" hidden="1" outlineLevel="2">
      <c r="A191" t="s">
        <v>197</v>
      </c>
      <c r="B191" s="51" t="s">
        <v>190</v>
      </c>
      <c r="C191" s="21" t="s">
        <v>365</v>
      </c>
      <c r="D191" s="1">
        <v>377.7896432651533</v>
      </c>
      <c r="E191" s="1">
        <v>138.74150755491013</v>
      </c>
      <c r="F191" s="1">
        <v>-15.399253937218907</v>
      </c>
      <c r="G191" s="1">
        <v>15.135674829433707</v>
      </c>
      <c r="H191" s="1">
        <v>0</v>
      </c>
      <c r="I191" s="1">
        <v>4.8864414716198299</v>
      </c>
      <c r="J191" s="1">
        <v>9408.4877914016888</v>
      </c>
      <c r="K191" s="1">
        <v>0</v>
      </c>
      <c r="L191" s="1">
        <v>5362.8095266010823</v>
      </c>
      <c r="M191" s="1">
        <v>120.68029636116952</v>
      </c>
      <c r="N191" s="1">
        <v>-3155.1934903535862</v>
      </c>
      <c r="O191" s="1">
        <v>0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  <c r="U191" s="1">
        <v>752.50494373581762</v>
      </c>
      <c r="V191" s="1">
        <v>1572.0701669048667</v>
      </c>
      <c r="W191" s="1">
        <v>589.97321916629312</v>
      </c>
      <c r="X191" s="1">
        <v>632.99203034734387</v>
      </c>
      <c r="Y191" s="1">
        <v>0</v>
      </c>
      <c r="Z191" s="1">
        <v>3292.728854707455</v>
      </c>
      <c r="AA191" s="1">
        <v>11951.340910083487</v>
      </c>
      <c r="AB191" s="1">
        <v>0</v>
      </c>
      <c r="AC191" s="1">
        <v>527.17963381058098</v>
      </c>
      <c r="AE191" s="1">
        <f t="shared" si="2"/>
        <v>31576.727895950098</v>
      </c>
    </row>
    <row r="192" spans="1:31" hidden="1" outlineLevel="2">
      <c r="A192" t="s">
        <v>197</v>
      </c>
      <c r="B192" s="51" t="s">
        <v>191</v>
      </c>
      <c r="C192" s="21" t="s">
        <v>366</v>
      </c>
      <c r="D192" s="1">
        <v>841.42333606810917</v>
      </c>
      <c r="E192" s="1">
        <v>318.12275140191582</v>
      </c>
      <c r="F192" s="1">
        <v>-29.700045819859096</v>
      </c>
      <c r="G192" s="1">
        <v>34.737454996056954</v>
      </c>
      <c r="H192" s="1">
        <v>5034.4888084125014</v>
      </c>
      <c r="I192" s="1">
        <v>245.40227916549938</v>
      </c>
      <c r="J192" s="1">
        <v>38121.061802769691</v>
      </c>
      <c r="K192" s="1">
        <v>5922.7575079552516</v>
      </c>
      <c r="L192" s="1">
        <v>12095.596414659794</v>
      </c>
      <c r="M192" s="1">
        <v>149.78043948500482</v>
      </c>
      <c r="N192" s="1">
        <v>-20921.467154323309</v>
      </c>
      <c r="O192" s="1">
        <v>-40.435726308300005</v>
      </c>
      <c r="P192" s="1">
        <v>-3.8635931692873164</v>
      </c>
      <c r="Q192" s="1">
        <v>0</v>
      </c>
      <c r="R192" s="1">
        <v>622.3368118587872</v>
      </c>
      <c r="S192" s="1">
        <v>6364.1032209036121</v>
      </c>
      <c r="T192" s="1">
        <v>342.84951921755919</v>
      </c>
      <c r="U192" s="1">
        <v>3190.921517058172</v>
      </c>
      <c r="V192" s="1">
        <v>1492.3389504823922</v>
      </c>
      <c r="W192" s="1">
        <v>2086.058428829333</v>
      </c>
      <c r="X192" s="1">
        <v>1457.8849076238262</v>
      </c>
      <c r="Y192" s="1">
        <v>562.98128421750391</v>
      </c>
      <c r="Z192" s="1">
        <v>7559.2458335590554</v>
      </c>
      <c r="AA192" s="1">
        <v>27316.428397888245</v>
      </c>
      <c r="AB192" s="1">
        <v>635.40314115304591</v>
      </c>
      <c r="AC192" s="1">
        <v>1209.5241036115187</v>
      </c>
      <c r="AE192" s="1">
        <f t="shared" si="2"/>
        <v>94607.980391696139</v>
      </c>
    </row>
    <row r="193" spans="1:31" hidden="1" outlineLevel="2">
      <c r="A193" t="s">
        <v>197</v>
      </c>
      <c r="B193" s="51" t="s">
        <v>192</v>
      </c>
      <c r="C193" s="21" t="s">
        <v>367</v>
      </c>
      <c r="D193" s="1">
        <v>673.32618893249719</v>
      </c>
      <c r="E193" s="1">
        <v>255.30098928959501</v>
      </c>
      <c r="F193" s="1">
        <v>0</v>
      </c>
      <c r="G193" s="1">
        <v>586.21826328228974</v>
      </c>
      <c r="H193" s="1">
        <v>4042.6509661485275</v>
      </c>
      <c r="I193" s="1">
        <v>8.8601325551446344</v>
      </c>
      <c r="J193" s="1">
        <v>18842.882824010128</v>
      </c>
      <c r="K193" s="1">
        <v>0</v>
      </c>
      <c r="L193" s="1">
        <v>9555.6629386894456</v>
      </c>
      <c r="M193" s="1">
        <v>0</v>
      </c>
      <c r="N193" s="1">
        <v>0</v>
      </c>
      <c r="O193" s="1">
        <v>0</v>
      </c>
      <c r="P193" s="1">
        <v>1.0500792540295762</v>
      </c>
      <c r="Q193" s="1">
        <v>0</v>
      </c>
      <c r="R193" s="1">
        <v>499.74293362298187</v>
      </c>
      <c r="S193" s="1">
        <v>5110.1987187156656</v>
      </c>
      <c r="T193" s="1">
        <v>0</v>
      </c>
      <c r="U193" s="1">
        <v>1386.3023990368765</v>
      </c>
      <c r="V193" s="1">
        <v>133.58741178545591</v>
      </c>
      <c r="W193" s="1">
        <v>1674.9049853746305</v>
      </c>
      <c r="X193" s="1">
        <v>1169.8580981948412</v>
      </c>
      <c r="Y193" s="1">
        <v>452.09443860589727</v>
      </c>
      <c r="Z193" s="1">
        <v>6070.7348576758777</v>
      </c>
      <c r="AA193" s="1">
        <v>21932.397384172571</v>
      </c>
      <c r="AB193" s="1">
        <v>494.59029778755394</v>
      </c>
      <c r="AC193" s="1">
        <v>557.71728567609739</v>
      </c>
      <c r="AE193" s="1">
        <f t="shared" si="2"/>
        <v>73448.081192810103</v>
      </c>
    </row>
    <row r="194" spans="1:31" hidden="1" outlineLevel="2">
      <c r="A194" t="s">
        <v>197</v>
      </c>
      <c r="B194" s="51" t="s">
        <v>193</v>
      </c>
      <c r="C194" s="21" t="s">
        <v>368</v>
      </c>
      <c r="D194" s="1">
        <v>211.11489972766765</v>
      </c>
      <c r="E194" s="1">
        <v>83.416871270857911</v>
      </c>
      <c r="F194" s="1">
        <v>-7.8859139119688493</v>
      </c>
      <c r="G194" s="1">
        <v>191.37770097004326</v>
      </c>
      <c r="H194" s="1">
        <v>1318.9898439871336</v>
      </c>
      <c r="I194" s="1">
        <v>64.270385134076392</v>
      </c>
      <c r="J194" s="1">
        <v>4497.4720376714204</v>
      </c>
      <c r="K194" s="1">
        <v>1552.5299481913478</v>
      </c>
      <c r="L194" s="1">
        <v>3157.4511422196911</v>
      </c>
      <c r="M194" s="1">
        <v>39.255631021504314</v>
      </c>
      <c r="N194" s="1">
        <v>-4216.0899712345336</v>
      </c>
      <c r="O194" s="1">
        <v>146.89300824503309</v>
      </c>
      <c r="P194" s="1">
        <v>2.9818697830623835</v>
      </c>
      <c r="Q194" s="1">
        <v>0</v>
      </c>
      <c r="R194" s="1">
        <v>163.23047527789063</v>
      </c>
      <c r="S194" s="1">
        <v>1667.9491998540898</v>
      </c>
      <c r="T194" s="1">
        <v>89.894243563210594</v>
      </c>
      <c r="U194" s="1">
        <v>797.09261170954949</v>
      </c>
      <c r="V194" s="1">
        <v>400.67045838617258</v>
      </c>
      <c r="W194" s="1">
        <v>220.91385389444505</v>
      </c>
      <c r="X194" s="1">
        <v>381.79019671779724</v>
      </c>
      <c r="Y194" s="1">
        <v>869.01195107905448</v>
      </c>
      <c r="Z194" s="1">
        <v>1981.8724797073162</v>
      </c>
      <c r="AA194" s="1">
        <v>7156.6553642698618</v>
      </c>
      <c r="AB194" s="1">
        <v>166.62178693734683</v>
      </c>
      <c r="AC194" s="1">
        <v>317.05701034159085</v>
      </c>
      <c r="AE194" s="1">
        <f t="shared" si="2"/>
        <v>21254.537084813659</v>
      </c>
    </row>
    <row r="195" spans="1:31" outlineLevel="1" collapsed="1">
      <c r="A195" t="s">
        <v>236</v>
      </c>
      <c r="B195" s="51"/>
      <c r="C195" s="21" t="s">
        <v>16</v>
      </c>
      <c r="D195" s="1">
        <f t="shared" ref="D195:AC195" si="12">SUBTOTAL(9,D190:D194)</f>
        <v>4287.8810304053468</v>
      </c>
      <c r="E195" s="1">
        <f t="shared" si="12"/>
        <v>1604.2316489042551</v>
      </c>
      <c r="F195" s="1">
        <f t="shared" si="12"/>
        <v>-130.74330356789577</v>
      </c>
      <c r="G195" s="1">
        <f t="shared" si="12"/>
        <v>915.97951783291967</v>
      </c>
      <c r="H195" s="1">
        <f t="shared" si="12"/>
        <v>23196.658038344623</v>
      </c>
      <c r="I195" s="1">
        <f t="shared" si="12"/>
        <v>339.21292327623627</v>
      </c>
      <c r="J195" s="1">
        <f t="shared" si="12"/>
        <v>155416.0846224743</v>
      </c>
      <c r="K195" s="1">
        <f t="shared" si="12"/>
        <v>22532.294761605423</v>
      </c>
      <c r="L195" s="1">
        <f t="shared" si="12"/>
        <v>60132.478255089656</v>
      </c>
      <c r="M195" s="1">
        <f t="shared" si="12"/>
        <v>1394.5630627799983</v>
      </c>
      <c r="N195" s="1">
        <f t="shared" si="12"/>
        <v>-109749.32126625667</v>
      </c>
      <c r="O195" s="1">
        <f t="shared" si="12"/>
        <v>1531.1279495828585</v>
      </c>
      <c r="P195" s="1">
        <f t="shared" si="12"/>
        <v>-5054.5034466217367</v>
      </c>
      <c r="Q195" s="1">
        <f t="shared" si="12"/>
        <v>0</v>
      </c>
      <c r="R195" s="1">
        <f t="shared" si="12"/>
        <v>6087.3070746524809</v>
      </c>
      <c r="S195" s="1">
        <f t="shared" si="12"/>
        <v>10829.002811704286</v>
      </c>
      <c r="T195" s="1">
        <f t="shared" si="12"/>
        <v>463.88135228206926</v>
      </c>
      <c r="U195" s="1">
        <f t="shared" si="12"/>
        <v>8847.2693526302119</v>
      </c>
      <c r="V195" s="1">
        <f t="shared" si="12"/>
        <v>16160.436353139756</v>
      </c>
      <c r="W195" s="1">
        <f t="shared" si="12"/>
        <v>9834.4218439697161</v>
      </c>
      <c r="X195" s="1">
        <f t="shared" si="12"/>
        <v>7356.4916754308069</v>
      </c>
      <c r="Y195" s="1">
        <f t="shared" si="12"/>
        <v>3707.0504848338728</v>
      </c>
      <c r="Z195" s="1">
        <f t="shared" si="12"/>
        <v>38118.679757365615</v>
      </c>
      <c r="AA195" s="1">
        <f t="shared" si="12"/>
        <v>137811.25365769444</v>
      </c>
      <c r="AB195" s="1">
        <f t="shared" si="12"/>
        <v>2912.2291394795648</v>
      </c>
      <c r="AC195" s="1">
        <f t="shared" si="12"/>
        <v>7305.5096106740975</v>
      </c>
      <c r="AE195" s="1">
        <f>SUBTOTAL(9,AE190:AE194)</f>
        <v>405849.47690770624</v>
      </c>
    </row>
    <row r="196" spans="1:31">
      <c r="A196" t="s">
        <v>237</v>
      </c>
      <c r="B196" s="51"/>
      <c r="C196" s="21"/>
      <c r="D196" s="1">
        <f t="shared" ref="D196:AC196" si="13">SUBTOTAL(9,D23:D194)</f>
        <v>2374280.4551716717</v>
      </c>
      <c r="E196" s="1">
        <f t="shared" si="13"/>
        <v>315143.2789010001</v>
      </c>
      <c r="F196" s="1">
        <f t="shared" si="13"/>
        <v>200272.37387341552</v>
      </c>
      <c r="G196" s="1">
        <f t="shared" si="13"/>
        <v>398965.71191157639</v>
      </c>
      <c r="H196" s="1">
        <f t="shared" si="13"/>
        <v>1841397.0064124195</v>
      </c>
      <c r="I196" s="1">
        <f t="shared" si="13"/>
        <v>977240.75244368997</v>
      </c>
      <c r="J196" s="1">
        <f t="shared" si="13"/>
        <v>11642395.650238838</v>
      </c>
      <c r="K196" s="1">
        <f t="shared" si="13"/>
        <v>1694754.5235631634</v>
      </c>
      <c r="L196" s="1">
        <f t="shared" si="13"/>
        <v>3998756.1424077973</v>
      </c>
      <c r="M196" s="1">
        <f t="shared" si="13"/>
        <v>967259.24623396341</v>
      </c>
      <c r="N196" s="1">
        <f t="shared" si="13"/>
        <v>6093127.9932659212</v>
      </c>
      <c r="O196" s="1">
        <f t="shared" si="13"/>
        <v>1170582.2476638288</v>
      </c>
      <c r="P196" s="1">
        <f t="shared" si="13"/>
        <v>275632.35219209333</v>
      </c>
      <c r="Q196" s="1">
        <f t="shared" si="13"/>
        <v>78824.789789154835</v>
      </c>
      <c r="R196" s="1">
        <f t="shared" si="13"/>
        <v>3095157.1885660561</v>
      </c>
      <c r="S196" s="1">
        <f t="shared" si="13"/>
        <v>17361617.977889631</v>
      </c>
      <c r="T196" s="1">
        <f t="shared" si="13"/>
        <v>252994.63542263772</v>
      </c>
      <c r="U196" s="1">
        <f t="shared" si="13"/>
        <v>2468505.8038169877</v>
      </c>
      <c r="V196" s="1">
        <f t="shared" si="13"/>
        <v>3436622.6023140391</v>
      </c>
      <c r="W196" s="1">
        <f t="shared" si="13"/>
        <v>1519547.9867172448</v>
      </c>
      <c r="X196" s="1">
        <f t="shared" si="13"/>
        <v>185677.98429233633</v>
      </c>
      <c r="Y196" s="1">
        <f t="shared" si="13"/>
        <v>484695.98329814267</v>
      </c>
      <c r="Z196" s="1">
        <f t="shared" si="13"/>
        <v>2864903.111248794</v>
      </c>
      <c r="AA196" s="1">
        <f t="shared" si="13"/>
        <v>3950604.4658992034</v>
      </c>
      <c r="AB196" s="1">
        <f t="shared" si="13"/>
        <v>411590.07775759778</v>
      </c>
      <c r="AC196" s="1">
        <f t="shared" si="13"/>
        <v>221029.49177903158</v>
      </c>
      <c r="AE196" s="1">
        <f>SUBTOTAL(9,AE23:AE194)</f>
        <v>68281579.833070219</v>
      </c>
    </row>
    <row r="197" spans="1:31" ht="30">
      <c r="C197" s="22" t="s">
        <v>71</v>
      </c>
      <c r="D197" s="1">
        <v>2803325</v>
      </c>
      <c r="E197" s="5">
        <v>3694127</v>
      </c>
      <c r="F197" s="5">
        <v>542010</v>
      </c>
      <c r="G197" s="5">
        <v>4281958</v>
      </c>
      <c r="H197" s="5">
        <v>0</v>
      </c>
      <c r="I197" s="1">
        <v>3178323</v>
      </c>
      <c r="J197" s="1">
        <v>20571489.34</v>
      </c>
      <c r="K197" s="1">
        <v>846986</v>
      </c>
      <c r="L197" s="1">
        <v>5966596</v>
      </c>
      <c r="M197" s="1">
        <v>0</v>
      </c>
      <c r="N197" s="1">
        <v>16913074</v>
      </c>
      <c r="O197" s="1">
        <v>2157165</v>
      </c>
      <c r="P197" s="1">
        <v>1433517</v>
      </c>
      <c r="Q197" s="1">
        <v>376811</v>
      </c>
      <c r="R197" s="1">
        <v>13456913.710000001</v>
      </c>
      <c r="S197" s="1">
        <v>19198211</v>
      </c>
      <c r="T197" s="1">
        <v>7295678</v>
      </c>
      <c r="U197" s="1">
        <v>8386965</v>
      </c>
      <c r="V197" s="1">
        <v>13279687</v>
      </c>
      <c r="W197" s="1">
        <v>4007407</v>
      </c>
      <c r="X197" s="1">
        <v>771216</v>
      </c>
      <c r="Y197" s="1">
        <v>4026408</v>
      </c>
      <c r="Z197" s="1">
        <v>410885</v>
      </c>
      <c r="AA197" s="1">
        <v>14594532</v>
      </c>
      <c r="AB197" s="1">
        <v>711000</v>
      </c>
      <c r="AC197" s="1">
        <v>592572</v>
      </c>
      <c r="AE197" s="1">
        <f t="shared" si="2"/>
        <v>149496856.05000001</v>
      </c>
    </row>
    <row r="198" spans="1:31" ht="15" customHeight="1">
      <c r="C198" s="20" t="s">
        <v>17</v>
      </c>
      <c r="D198" s="2">
        <v>0</v>
      </c>
      <c r="E198" s="2">
        <v>0</v>
      </c>
      <c r="F198" s="2">
        <v>0</v>
      </c>
      <c r="G198" s="2">
        <v>0</v>
      </c>
      <c r="H198" s="2">
        <v>0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0</v>
      </c>
      <c r="AB198" s="2">
        <v>0</v>
      </c>
      <c r="AC198" s="2">
        <v>0</v>
      </c>
      <c r="AE198" s="2">
        <f t="shared" si="2"/>
        <v>0</v>
      </c>
    </row>
    <row r="199" spans="1:31">
      <c r="A199" s="18" t="s">
        <v>18</v>
      </c>
      <c r="B199" s="18"/>
      <c r="C199" s="14"/>
      <c r="D199" s="7">
        <f t="shared" ref="D199:AC199" si="14">D21+D22+D24+D46+D48+D119+D145+D171+D177+D183+D189+D195+D197</f>
        <v>5201848.2923031133</v>
      </c>
      <c r="E199" s="7">
        <f t="shared" si="14"/>
        <v>4028992.4083783422</v>
      </c>
      <c r="F199" s="7">
        <f t="shared" si="14"/>
        <v>773999.58745322062</v>
      </c>
      <c r="G199" s="7">
        <f t="shared" si="14"/>
        <v>4709768.4169758037</v>
      </c>
      <c r="H199" s="7">
        <f t="shared" si="14"/>
        <v>1910853.0459303618</v>
      </c>
      <c r="I199" s="7">
        <f t="shared" si="14"/>
        <v>4190947.758488053</v>
      </c>
      <c r="J199" s="7">
        <f t="shared" si="14"/>
        <v>32433964.808758982</v>
      </c>
      <c r="K199" s="7">
        <f t="shared" si="14"/>
        <v>2575203.9913155804</v>
      </c>
      <c r="L199" s="7">
        <f t="shared" si="14"/>
        <v>10021226.291639008</v>
      </c>
      <c r="M199" s="7">
        <f t="shared" si="14"/>
        <v>994076.44011207216</v>
      </c>
      <c r="N199" s="7">
        <f t="shared" si="14"/>
        <v>23115462.512720585</v>
      </c>
      <c r="O199" s="7">
        <f t="shared" si="14"/>
        <v>3364841.3515418712</v>
      </c>
      <c r="P199" s="7">
        <f t="shared" si="14"/>
        <v>1764696.3220493677</v>
      </c>
      <c r="Q199" s="7">
        <f t="shared" si="14"/>
        <v>461381.25999280118</v>
      </c>
      <c r="R199" s="7">
        <f t="shared" si="14"/>
        <v>16674230.358765632</v>
      </c>
      <c r="S199" s="7">
        <f t="shared" si="14"/>
        <v>36770672.737694032</v>
      </c>
      <c r="T199" s="7">
        <f t="shared" si="14"/>
        <v>7572414.5922699803</v>
      </c>
      <c r="U199" s="7">
        <f t="shared" si="14"/>
        <v>10931450.906514855</v>
      </c>
      <c r="V199" s="7">
        <f t="shared" si="14"/>
        <v>16816741.551318385</v>
      </c>
      <c r="W199" s="7">
        <f t="shared" si="14"/>
        <v>5569031.6883111876</v>
      </c>
      <c r="X199" s="7">
        <f t="shared" si="14"/>
        <v>973141.69210855721</v>
      </c>
      <c r="Y199" s="7">
        <f t="shared" si="14"/>
        <v>4553971.9527395703</v>
      </c>
      <c r="Z199" s="7">
        <f t="shared" si="14"/>
        <v>3303400.2723475066</v>
      </c>
      <c r="AA199" s="7">
        <f t="shared" si="14"/>
        <v>18642495.758328829</v>
      </c>
      <c r="AB199" s="7">
        <f t="shared" si="14"/>
        <v>1139685.9995851554</v>
      </c>
      <c r="AC199" s="7">
        <f t="shared" si="14"/>
        <v>829936.76580238366</v>
      </c>
      <c r="AD199"/>
      <c r="AE199" s="7">
        <f>AE21+AE22+AE24+AE46+AE48+AE119+AE145+AE171+AE177+AE183+AE189+AE195+AE197</f>
        <v>219324436.76344526</v>
      </c>
    </row>
    <row r="200" spans="1:31">
      <c r="A200" s="18"/>
      <c r="B200" s="18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46"/>
      <c r="AE200" s="1"/>
    </row>
    <row r="201" spans="1:31">
      <c r="A201" s="18" t="s">
        <v>19</v>
      </c>
      <c r="B201" s="18"/>
      <c r="D201" s="4">
        <f t="shared" ref="D201:AC201" si="15">+D18-D199</f>
        <v>-1417965.5453498662</v>
      </c>
      <c r="E201" s="4">
        <f t="shared" si="15"/>
        <v>-2516464.6183689442</v>
      </c>
      <c r="F201" s="4">
        <f t="shared" si="15"/>
        <v>1337392.0031755203</v>
      </c>
      <c r="G201" s="4">
        <f t="shared" si="15"/>
        <v>-1690656.6912321937</v>
      </c>
      <c r="H201" s="4">
        <f t="shared" si="15"/>
        <v>6910944.3837043364</v>
      </c>
      <c r="I201" s="4">
        <f t="shared" si="15"/>
        <v>323701.22440782236</v>
      </c>
      <c r="J201" s="4">
        <f t="shared" si="15"/>
        <v>11239941.638182908</v>
      </c>
      <c r="K201" s="4">
        <f t="shared" si="15"/>
        <v>1128290.0601847633</v>
      </c>
      <c r="L201" s="4">
        <f t="shared" si="15"/>
        <v>-1381907.5501835812</v>
      </c>
      <c r="M201" s="4">
        <f t="shared" si="15"/>
        <v>2638810.0821724399</v>
      </c>
      <c r="N201" s="4">
        <f t="shared" si="15"/>
        <v>-5348587.1890912019</v>
      </c>
      <c r="O201" s="4">
        <f t="shared" si="15"/>
        <v>285286.95890155109</v>
      </c>
      <c r="P201" s="4">
        <f t="shared" si="15"/>
        <v>3813076.4639431494</v>
      </c>
      <c r="Q201" s="4">
        <f t="shared" si="15"/>
        <v>-250095.9090117818</v>
      </c>
      <c r="R201" s="4">
        <f t="shared" si="15"/>
        <v>3593386.6347075254</v>
      </c>
      <c r="S201" s="4">
        <f t="shared" si="15"/>
        <v>1193319.4866291285</v>
      </c>
      <c r="T201" s="4">
        <f t="shared" si="15"/>
        <v>-4107599.895056494</v>
      </c>
      <c r="U201" s="4">
        <f t="shared" si="15"/>
        <v>-869916.9782770928</v>
      </c>
      <c r="V201" s="4">
        <f t="shared" si="15"/>
        <v>-2144612.5816061236</v>
      </c>
      <c r="W201" s="4">
        <f t="shared" si="15"/>
        <v>-416894.51536389627</v>
      </c>
      <c r="X201" s="4">
        <f t="shared" si="15"/>
        <v>-102146.66910668556</v>
      </c>
      <c r="Y201" s="4">
        <f t="shared" si="15"/>
        <v>202925.00498830527</v>
      </c>
      <c r="Z201" s="4">
        <f t="shared" si="15"/>
        <v>796619.20323078148</v>
      </c>
      <c r="AA201" s="4">
        <f t="shared" si="15"/>
        <v>-5113010.8122927025</v>
      </c>
      <c r="AB201" s="4">
        <f t="shared" si="15"/>
        <v>-257236.41531192837</v>
      </c>
      <c r="AC201" s="4">
        <f t="shared" si="15"/>
        <v>58531.426506297779</v>
      </c>
      <c r="AD201" s="36"/>
      <c r="AE201" s="4">
        <f>+AE18-AE199</f>
        <v>7905129.2004820406</v>
      </c>
    </row>
    <row r="202" spans="1:31">
      <c r="A202" s="18"/>
      <c r="B202" s="18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46"/>
      <c r="AE202" s="1"/>
    </row>
    <row r="203" spans="1:31" hidden="1">
      <c r="A203" s="18" t="s">
        <v>34</v>
      </c>
      <c r="B203" s="18"/>
      <c r="C203" s="15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32"/>
      <c r="Z203" s="1"/>
      <c r="AA203" s="1"/>
      <c r="AB203" s="1"/>
      <c r="AC203" s="46"/>
      <c r="AE203" s="1"/>
    </row>
    <row r="204" spans="1:31" hidden="1">
      <c r="A204" s="18" t="s">
        <v>35</v>
      </c>
      <c r="B204" s="18"/>
      <c r="C204" s="15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46"/>
      <c r="AE204" s="1"/>
    </row>
    <row r="205" spans="1:31" hidden="1">
      <c r="C205" s="20" t="s">
        <v>20</v>
      </c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E205" s="1">
        <f t="shared" ref="AE205:AE211" si="16">SUM(D205:AC205)</f>
        <v>0</v>
      </c>
    </row>
    <row r="206" spans="1:31" hidden="1">
      <c r="C206" s="20" t="s">
        <v>21</v>
      </c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E206" s="1">
        <f t="shared" si="16"/>
        <v>0</v>
      </c>
    </row>
    <row r="207" spans="1:31" hidden="1">
      <c r="C207" s="20" t="s">
        <v>22</v>
      </c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E207" s="1">
        <f t="shared" si="16"/>
        <v>0</v>
      </c>
    </row>
    <row r="208" spans="1:31" hidden="1">
      <c r="C208" s="20" t="s">
        <v>23</v>
      </c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E208" s="1">
        <f t="shared" si="16"/>
        <v>0</v>
      </c>
    </row>
    <row r="209" spans="1:31" hidden="1">
      <c r="C209" s="20" t="s">
        <v>24</v>
      </c>
      <c r="D209" s="6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6"/>
      <c r="AC209" s="1"/>
      <c r="AE209" s="1">
        <f t="shared" si="16"/>
        <v>0</v>
      </c>
    </row>
    <row r="210" spans="1:31" hidden="1">
      <c r="C210" s="21" t="s">
        <v>25</v>
      </c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E210" s="1">
        <f t="shared" si="16"/>
        <v>0</v>
      </c>
    </row>
    <row r="211" spans="1:31" hidden="1">
      <c r="C211" s="21" t="s">
        <v>26</v>
      </c>
      <c r="D211" s="6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E211" s="1">
        <f t="shared" si="16"/>
        <v>0</v>
      </c>
    </row>
    <row r="212" spans="1:31" hidden="1">
      <c r="D212" s="8">
        <f>SUM(D205:D211)</f>
        <v>0</v>
      </c>
      <c r="E212" s="8">
        <f t="shared" ref="E212:AE212" si="17">SUM(E205:E211)</f>
        <v>0</v>
      </c>
      <c r="F212" s="8">
        <f t="shared" si="17"/>
        <v>0</v>
      </c>
      <c r="G212" s="8">
        <f t="shared" si="17"/>
        <v>0</v>
      </c>
      <c r="H212" s="8">
        <f t="shared" si="17"/>
        <v>0</v>
      </c>
      <c r="I212" s="8">
        <f t="shared" si="17"/>
        <v>0</v>
      </c>
      <c r="J212" s="8">
        <f t="shared" si="17"/>
        <v>0</v>
      </c>
      <c r="K212" s="8">
        <f t="shared" si="17"/>
        <v>0</v>
      </c>
      <c r="L212" s="8">
        <f t="shared" si="17"/>
        <v>0</v>
      </c>
      <c r="M212" s="8">
        <f t="shared" si="17"/>
        <v>0</v>
      </c>
      <c r="N212" s="8">
        <f t="shared" si="17"/>
        <v>0</v>
      </c>
      <c r="O212" s="8">
        <f t="shared" si="17"/>
        <v>0</v>
      </c>
      <c r="P212" s="8">
        <f t="shared" si="17"/>
        <v>0</v>
      </c>
      <c r="Q212" s="8">
        <f t="shared" si="17"/>
        <v>0</v>
      </c>
      <c r="R212" s="8">
        <f t="shared" si="17"/>
        <v>0</v>
      </c>
      <c r="S212" s="8">
        <f t="shared" si="17"/>
        <v>0</v>
      </c>
      <c r="T212" s="8">
        <f t="shared" si="17"/>
        <v>0</v>
      </c>
      <c r="U212" s="8">
        <f t="shared" si="17"/>
        <v>0</v>
      </c>
      <c r="V212" s="8">
        <f t="shared" si="17"/>
        <v>0</v>
      </c>
      <c r="W212" s="8">
        <f t="shared" si="17"/>
        <v>0</v>
      </c>
      <c r="X212" s="8">
        <f t="shared" si="17"/>
        <v>0</v>
      </c>
      <c r="Y212" s="8">
        <f t="shared" si="17"/>
        <v>0</v>
      </c>
      <c r="Z212" s="8">
        <f t="shared" si="17"/>
        <v>0</v>
      </c>
      <c r="AA212" s="8">
        <f t="shared" si="17"/>
        <v>0</v>
      </c>
      <c r="AB212" s="8">
        <f t="shared" si="17"/>
        <v>0</v>
      </c>
      <c r="AC212" s="8">
        <f t="shared" si="17"/>
        <v>0</v>
      </c>
      <c r="AE212" s="8">
        <f t="shared" si="17"/>
        <v>0</v>
      </c>
    </row>
    <row r="213" spans="1:31" hidden="1"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46"/>
      <c r="AE213" s="1"/>
    </row>
    <row r="214" spans="1:31" ht="15.75" hidden="1" thickBot="1">
      <c r="A214" s="18" t="s">
        <v>38</v>
      </c>
      <c r="B214" s="18"/>
      <c r="D214" s="9">
        <f>IF((D201-D212)&lt;0,0,D201-D212)</f>
        <v>0</v>
      </c>
      <c r="E214" s="9">
        <f t="shared" ref="E214:AC214" si="18">IF((E201-E212)&lt;0,0,E201-E212)</f>
        <v>0</v>
      </c>
      <c r="F214" s="9">
        <f t="shared" si="18"/>
        <v>1337392.0031755203</v>
      </c>
      <c r="G214" s="9">
        <f t="shared" si="18"/>
        <v>0</v>
      </c>
      <c r="H214" s="9">
        <f t="shared" si="18"/>
        <v>6910944.3837043364</v>
      </c>
      <c r="I214" s="9">
        <f t="shared" si="18"/>
        <v>323701.22440782236</v>
      </c>
      <c r="J214" s="9">
        <f t="shared" si="18"/>
        <v>11239941.638182908</v>
      </c>
      <c r="K214" s="9">
        <f t="shared" si="18"/>
        <v>1128290.0601847633</v>
      </c>
      <c r="L214" s="9">
        <f t="shared" si="18"/>
        <v>0</v>
      </c>
      <c r="M214" s="9">
        <f t="shared" si="18"/>
        <v>2638810.0821724399</v>
      </c>
      <c r="N214" s="9">
        <f t="shared" si="18"/>
        <v>0</v>
      </c>
      <c r="O214" s="9">
        <f t="shared" si="18"/>
        <v>285286.95890155109</v>
      </c>
      <c r="P214" s="9">
        <f t="shared" si="18"/>
        <v>3813076.4639431494</v>
      </c>
      <c r="Q214" s="9">
        <f t="shared" si="18"/>
        <v>0</v>
      </c>
      <c r="R214" s="9">
        <f t="shared" si="18"/>
        <v>3593386.6347075254</v>
      </c>
      <c r="S214" s="9">
        <f t="shared" si="18"/>
        <v>1193319.4866291285</v>
      </c>
      <c r="T214" s="9">
        <f t="shared" si="18"/>
        <v>0</v>
      </c>
      <c r="U214" s="9">
        <f t="shared" si="18"/>
        <v>0</v>
      </c>
      <c r="V214" s="9">
        <f t="shared" si="18"/>
        <v>0</v>
      </c>
      <c r="W214" s="9">
        <f t="shared" si="18"/>
        <v>0</v>
      </c>
      <c r="X214" s="9">
        <f t="shared" si="18"/>
        <v>0</v>
      </c>
      <c r="Y214" s="9">
        <f t="shared" si="18"/>
        <v>202925.00498830527</v>
      </c>
      <c r="Z214" s="9">
        <f t="shared" si="18"/>
        <v>796619.20323078148</v>
      </c>
      <c r="AA214" s="9">
        <f t="shared" si="18"/>
        <v>0</v>
      </c>
      <c r="AB214" s="9">
        <f t="shared" si="18"/>
        <v>0</v>
      </c>
      <c r="AC214" s="9">
        <f t="shared" si="18"/>
        <v>58531.426506297779</v>
      </c>
      <c r="AD214" s="36"/>
      <c r="AE214" s="9">
        <f>SUM(D214:AC214)</f>
        <v>33522224.570734527</v>
      </c>
    </row>
    <row r="215" spans="1:31" hidden="1"/>
    <row r="216" spans="1:31" hidden="1"/>
    <row r="217" spans="1:31" ht="32.25" hidden="1" customHeight="1">
      <c r="A217" s="53" t="s">
        <v>37</v>
      </c>
      <c r="B217" s="53"/>
      <c r="C217" s="53"/>
    </row>
    <row r="218" spans="1:31" hidden="1"/>
    <row r="219" spans="1:31" ht="48" hidden="1" customHeight="1">
      <c r="A219" s="53" t="s">
        <v>39</v>
      </c>
      <c r="B219" s="53"/>
      <c r="C219" s="53"/>
    </row>
    <row r="220" spans="1:31" hidden="1">
      <c r="A220" s="19"/>
      <c r="B220" s="19"/>
      <c r="C220" s="19"/>
    </row>
    <row r="221" spans="1:31" hidden="1">
      <c r="C221" s="10" t="s">
        <v>27</v>
      </c>
      <c r="AE221" s="24">
        <v>0</v>
      </c>
    </row>
    <row r="222" spans="1:31" hidden="1">
      <c r="C222" s="10" t="s">
        <v>28</v>
      </c>
      <c r="AE222" s="24">
        <v>0</v>
      </c>
    </row>
    <row r="223" spans="1:31" hidden="1">
      <c r="C223" s="10" t="s">
        <v>29</v>
      </c>
      <c r="E223" s="25"/>
      <c r="F223" s="25"/>
      <c r="G223" s="25"/>
      <c r="H223" s="25"/>
      <c r="AE223" s="24">
        <v>0</v>
      </c>
    </row>
    <row r="224" spans="1:31" ht="18" hidden="1" customHeight="1">
      <c r="C224" s="10" t="s">
        <v>30</v>
      </c>
      <c r="E224" s="25"/>
      <c r="F224" s="25"/>
      <c r="G224" s="25"/>
      <c r="H224" s="25"/>
      <c r="AE224" s="24">
        <v>0</v>
      </c>
    </row>
    <row r="225" spans="3:31" hidden="1">
      <c r="C225" s="10" t="s">
        <v>31</v>
      </c>
      <c r="E225" s="25"/>
      <c r="F225" s="25"/>
      <c r="G225" s="25"/>
      <c r="H225" s="25"/>
      <c r="AE225" s="24">
        <v>0</v>
      </c>
    </row>
    <row r="226" spans="3:31" hidden="1">
      <c r="C226" s="21" t="s">
        <v>26</v>
      </c>
      <c r="E226" s="25"/>
      <c r="F226" s="25"/>
      <c r="G226" s="25"/>
      <c r="H226" s="25"/>
      <c r="AE226" s="24">
        <v>0</v>
      </c>
    </row>
    <row r="227" spans="3:31" hidden="1">
      <c r="C227" s="18" t="s">
        <v>32</v>
      </c>
      <c r="D227" s="33">
        <f>SUM(D221:D226)</f>
        <v>0</v>
      </c>
      <c r="E227" s="33">
        <f t="shared" ref="E227:AE227" si="19">SUM(E221:E226)</f>
        <v>0</v>
      </c>
      <c r="F227" s="33">
        <f t="shared" si="19"/>
        <v>0</v>
      </c>
      <c r="G227" s="33">
        <f t="shared" si="19"/>
        <v>0</v>
      </c>
      <c r="H227" s="33">
        <f t="shared" si="19"/>
        <v>0</v>
      </c>
      <c r="I227" s="33">
        <f t="shared" si="19"/>
        <v>0</v>
      </c>
      <c r="J227" s="33">
        <f t="shared" si="19"/>
        <v>0</v>
      </c>
      <c r="K227" s="33">
        <f t="shared" si="19"/>
        <v>0</v>
      </c>
      <c r="L227" s="33">
        <f t="shared" si="19"/>
        <v>0</v>
      </c>
      <c r="M227" s="33">
        <f t="shared" si="19"/>
        <v>0</v>
      </c>
      <c r="N227" s="33">
        <f t="shared" si="19"/>
        <v>0</v>
      </c>
      <c r="O227" s="33">
        <f t="shared" si="19"/>
        <v>0</v>
      </c>
      <c r="P227" s="33">
        <f t="shared" si="19"/>
        <v>0</v>
      </c>
      <c r="Q227" s="33">
        <f t="shared" si="19"/>
        <v>0</v>
      </c>
      <c r="R227" s="33">
        <f t="shared" si="19"/>
        <v>0</v>
      </c>
      <c r="S227" s="33">
        <f t="shared" si="19"/>
        <v>0</v>
      </c>
      <c r="T227" s="33">
        <f t="shared" si="19"/>
        <v>0</v>
      </c>
      <c r="U227" s="33">
        <f t="shared" si="19"/>
        <v>0</v>
      </c>
      <c r="V227" s="33">
        <f t="shared" si="19"/>
        <v>0</v>
      </c>
      <c r="W227" s="33">
        <f t="shared" si="19"/>
        <v>0</v>
      </c>
      <c r="X227" s="33">
        <f t="shared" si="19"/>
        <v>0</v>
      </c>
      <c r="Y227" s="33">
        <f t="shared" si="19"/>
        <v>0</v>
      </c>
      <c r="Z227" s="33">
        <f t="shared" si="19"/>
        <v>0</v>
      </c>
      <c r="AA227" s="33">
        <f t="shared" si="19"/>
        <v>0</v>
      </c>
      <c r="AB227" s="33">
        <f t="shared" si="19"/>
        <v>0</v>
      </c>
      <c r="AC227" s="47">
        <f t="shared" si="19"/>
        <v>0</v>
      </c>
      <c r="AE227" s="33">
        <f t="shared" si="19"/>
        <v>0</v>
      </c>
    </row>
    <row r="228" spans="3:31">
      <c r="C228" s="23"/>
      <c r="D228" s="27" t="s">
        <v>248</v>
      </c>
    </row>
    <row r="229" spans="3:31" ht="31.5" customHeight="1">
      <c r="D229" s="53" t="s">
        <v>250</v>
      </c>
      <c r="E229" s="53"/>
      <c r="F229" s="53"/>
      <c r="G229" s="53"/>
      <c r="H229" s="53"/>
      <c r="I229" s="53"/>
      <c r="J229"/>
      <c r="K229"/>
      <c r="L229"/>
      <c r="M229"/>
      <c r="N229"/>
      <c r="O229"/>
      <c r="P229"/>
      <c r="Q229"/>
      <c r="R229"/>
      <c r="S229"/>
    </row>
    <row r="231" spans="3:31" ht="29.25" customHeight="1">
      <c r="D231" s="53" t="s">
        <v>249</v>
      </c>
      <c r="E231" s="53"/>
      <c r="F231" s="53"/>
      <c r="G231" s="53"/>
      <c r="H231" s="53"/>
      <c r="I231" s="53"/>
      <c r="J231"/>
      <c r="K231"/>
      <c r="L231"/>
    </row>
  </sheetData>
  <mergeCells count="5">
    <mergeCell ref="A20:C20"/>
    <mergeCell ref="A217:C217"/>
    <mergeCell ref="A219:C219"/>
    <mergeCell ref="D229:I229"/>
    <mergeCell ref="D231:I231"/>
  </mergeCells>
  <pageMargins left="0.12" right="0.11" top="0.3" bottom="0.3" header="0.3" footer="0.15"/>
  <pageSetup paperSize="5" scale="76" fitToWidth="0" orientation="landscape" r:id="rId1"/>
  <headerFooter>
    <oddHeader>&amp;L&amp;P of &amp;N</oddHeader>
    <oddFooter>&amp;L&amp;9&amp;Z&amp;F&amp;A&amp;RRevised: &amp;D</oddFooter>
  </headerFooter>
  <rowBreaks count="1" manualBreakCount="1">
    <brk id="214" max="16383" man="1"/>
  </rowBreaks>
  <colBreaks count="1" manualBreakCount="1">
    <brk id="9" max="23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"/>
  <sheetViews>
    <sheetView topLeftCell="H1" workbookViewId="0">
      <selection activeCell="AC16" sqref="AC16:AC17"/>
    </sheetView>
  </sheetViews>
  <sheetFormatPr defaultRowHeight="15"/>
  <cols>
    <col min="1" max="1" width="26.7109375" customWidth="1"/>
    <col min="2" max="2" width="12" bestFit="1" customWidth="1"/>
    <col min="3" max="3" width="10.28515625" bestFit="1" customWidth="1"/>
    <col min="4" max="4" width="11.5703125" bestFit="1" customWidth="1"/>
    <col min="5" max="6" width="12" bestFit="1" customWidth="1"/>
    <col min="7" max="7" width="11" bestFit="1" customWidth="1"/>
    <col min="8" max="11" width="12" bestFit="1" customWidth="1"/>
    <col min="12" max="12" width="12.7109375" bestFit="1" customWidth="1"/>
    <col min="13" max="13" width="12.28515625" bestFit="1" customWidth="1"/>
    <col min="14" max="14" width="12.7109375" bestFit="1" customWidth="1"/>
    <col min="15" max="15" width="9.85546875" bestFit="1" customWidth="1"/>
    <col min="16" max="16" width="12.7109375" bestFit="1" customWidth="1"/>
    <col min="17" max="17" width="12" bestFit="1" customWidth="1"/>
    <col min="18" max="18" width="11.5703125" bestFit="1" customWidth="1"/>
    <col min="19" max="19" width="12.7109375" bestFit="1" customWidth="1"/>
    <col min="20" max="20" width="12" bestFit="1" customWidth="1"/>
    <col min="21" max="21" width="11.28515625" bestFit="1" customWidth="1"/>
    <col min="22" max="22" width="10.28515625" bestFit="1" customWidth="1"/>
    <col min="23" max="24" width="11.5703125" bestFit="1" customWidth="1"/>
    <col min="25" max="25" width="11.28515625" bestFit="1" customWidth="1"/>
    <col min="26" max="27" width="10.28515625" bestFit="1" customWidth="1"/>
    <col min="29" max="29" width="14" bestFit="1" customWidth="1"/>
  </cols>
  <sheetData>
    <row r="1" spans="1:29">
      <c r="B1" t="s">
        <v>42</v>
      </c>
      <c r="C1" t="s">
        <v>43</v>
      </c>
      <c r="D1" t="s">
        <v>44</v>
      </c>
      <c r="E1" t="s">
        <v>45</v>
      </c>
      <c r="F1" t="s">
        <v>46</v>
      </c>
      <c r="G1" t="s">
        <v>47</v>
      </c>
      <c r="H1" t="s">
        <v>48</v>
      </c>
      <c r="I1" t="s">
        <v>49</v>
      </c>
      <c r="J1" t="s">
        <v>50</v>
      </c>
      <c r="K1" t="s">
        <v>51</v>
      </c>
      <c r="L1" t="s">
        <v>52</v>
      </c>
      <c r="M1" t="s">
        <v>53</v>
      </c>
      <c r="N1" t="s">
        <v>54</v>
      </c>
      <c r="O1" t="s">
        <v>55</v>
      </c>
      <c r="P1" t="s">
        <v>56</v>
      </c>
      <c r="Q1" t="s">
        <v>57</v>
      </c>
      <c r="R1" t="s">
        <v>58</v>
      </c>
      <c r="S1" t="s">
        <v>59</v>
      </c>
      <c r="T1" t="s">
        <v>60</v>
      </c>
      <c r="U1" t="s">
        <v>41</v>
      </c>
      <c r="V1" t="s">
        <v>61</v>
      </c>
      <c r="W1" t="s">
        <v>62</v>
      </c>
      <c r="X1" t="s">
        <v>63</v>
      </c>
      <c r="Y1" t="s">
        <v>64</v>
      </c>
      <c r="Z1" t="s">
        <v>65</v>
      </c>
      <c r="AA1" t="s">
        <v>66</v>
      </c>
      <c r="AC1" t="s">
        <v>67</v>
      </c>
    </row>
    <row r="5" spans="1:29"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</row>
    <row r="7" spans="1:29">
      <c r="A7" t="s">
        <v>2</v>
      </c>
    </row>
    <row r="8" spans="1:29">
      <c r="A8" t="s">
        <v>3</v>
      </c>
      <c r="B8">
        <f>4140926.88+2502525.44</f>
        <v>6643452.3200000003</v>
      </c>
      <c r="C8">
        <f>1926405.83+1368963.26</f>
        <v>3295369.09</v>
      </c>
      <c r="D8">
        <f>2423802.84+1517980.56</f>
        <v>3941783.4</v>
      </c>
      <c r="E8">
        <f>3772577.9+2438200.14</f>
        <v>6210778.04</v>
      </c>
      <c r="F8">
        <f>10717372.68+7647248.52</f>
        <v>18364621.199999999</v>
      </c>
      <c r="G8">
        <f>6153945.41+3684859.65</f>
        <v>9838805.0600000005</v>
      </c>
      <c r="H8">
        <f>51000473.73+40356027.04</f>
        <v>91356500.769999996</v>
      </c>
      <c r="I8">
        <f>3990618.88+3010102.87</f>
        <v>7000721.75</v>
      </c>
      <c r="J8">
        <f>10996616.12+7822172.6</f>
        <v>18818788.719999999</v>
      </c>
      <c r="K8">
        <f>4730727.68+3349686.27</f>
        <v>8080413.9499999993</v>
      </c>
      <c r="L8">
        <f>23107794.95+16381487.44</f>
        <v>39489282.390000001</v>
      </c>
      <c r="M8">
        <f>4119759.34+3051970.15</f>
        <v>7171729.4900000002</v>
      </c>
      <c r="N8">
        <f>7047973.39+4867184.33</f>
        <v>11915157.719999999</v>
      </c>
      <c r="O8">
        <f>278121+183236.96</f>
        <v>461357.95999999996</v>
      </c>
      <c r="P8">
        <f>28106749.18+17426927.34</f>
        <v>45533676.519999996</v>
      </c>
      <c r="Q8">
        <f>47651705.28+36024143.07</f>
        <v>83675848.349999994</v>
      </c>
      <c r="R8">
        <f>3706974.04+2333332.59</f>
        <v>6040306.6299999999</v>
      </c>
      <c r="S8">
        <f>12568686.72+8719799.05</f>
        <v>21288485.770000003</v>
      </c>
      <c r="T8">
        <f>19022238.01+13705390.73</f>
        <v>32727628.740000002</v>
      </c>
      <c r="U8">
        <f>5375562.12+4934404.14</f>
        <v>10309966.26</v>
      </c>
      <c r="V8">
        <f>1078306.3+708019.49</f>
        <v>1786325.79</v>
      </c>
      <c r="W8">
        <f>5450570.66+3995276.56</f>
        <v>9445847.2200000007</v>
      </c>
      <c r="X8">
        <f>5766865.48+2795086.12</f>
        <v>8561951.6000000015</v>
      </c>
      <c r="Y8">
        <f>16643872.49+11965984.9</f>
        <v>28609857.390000001</v>
      </c>
      <c r="Z8">
        <f>1200113.55+628930.09</f>
        <v>1829043.6400000001</v>
      </c>
      <c r="AA8">
        <f>1220741+747087.18</f>
        <v>1967828.1800000002</v>
      </c>
      <c r="AC8">
        <f>SUM(B8:AA8)</f>
        <v>484365527.95000005</v>
      </c>
    </row>
    <row r="9" spans="1:29">
      <c r="A9" t="s">
        <v>4</v>
      </c>
      <c r="B9">
        <f>143036.8-17012.63</f>
        <v>126024.16999999998</v>
      </c>
      <c r="C9">
        <f>8975.54+11140.17</f>
        <v>20115.71</v>
      </c>
      <c r="D9">
        <f>13264.54-11516</f>
        <v>1748.5400000000009</v>
      </c>
      <c r="E9">
        <f>959.41+33906.47</f>
        <v>34865.880000000005</v>
      </c>
      <c r="F9">
        <f>475514.94+163119</f>
        <v>638633.93999999994</v>
      </c>
      <c r="G9">
        <f>33317.25+26460.09</f>
        <v>59777.34</v>
      </c>
      <c r="H9">
        <f>700718.08+183008.52</f>
        <v>883726.6</v>
      </c>
      <c r="I9">
        <f>202477.13+92157.69</f>
        <v>294634.82</v>
      </c>
      <c r="J9">
        <f>149765.98+214686.33</f>
        <v>364452.31</v>
      </c>
      <c r="K9">
        <f>28524.24+11745.57</f>
        <v>40269.81</v>
      </c>
      <c r="L9">
        <f>-59138.89+75475.97</f>
        <v>16337.080000000002</v>
      </c>
      <c r="M9">
        <f>44399.3+28576.25</f>
        <v>72975.55</v>
      </c>
      <c r="N9">
        <f>-81106.84+99648.48</f>
        <v>18541.64</v>
      </c>
      <c r="O9">
        <f>466+522.04</f>
        <v>988.04</v>
      </c>
      <c r="P9">
        <f>406328.33-376213.85</f>
        <v>30114.48000000004</v>
      </c>
      <c r="Q9">
        <f>927571.18-13362.02</f>
        <v>914209.16</v>
      </c>
      <c r="R9">
        <f>221777.75-31189.53</f>
        <v>190588.22</v>
      </c>
      <c r="S9">
        <f>-51990.6-39046.22</f>
        <v>-91036.82</v>
      </c>
      <c r="T9">
        <f>450568.84+45300.63</f>
        <v>495869.47000000003</v>
      </c>
      <c r="U9">
        <f>60721.62-5013.18</f>
        <v>55708.44</v>
      </c>
      <c r="V9">
        <f>34665.09+24056.29</f>
        <v>58721.38</v>
      </c>
      <c r="W9">
        <f>155198.23-9274.23</f>
        <v>145924</v>
      </c>
      <c r="X9">
        <f>39472.63+23562.52</f>
        <v>63035.149999999994</v>
      </c>
      <c r="Y9">
        <f>7686.9+231309.49</f>
        <v>238996.38999999998</v>
      </c>
      <c r="Z9">
        <f>18096.86+5779.03</f>
        <v>23875.89</v>
      </c>
      <c r="AA9">
        <f>17187+11564.83</f>
        <v>28751.83</v>
      </c>
      <c r="AC9">
        <f>SUM(B9:AA9)</f>
        <v>4727849.0200000005</v>
      </c>
    </row>
    <row r="10" spans="1:29">
      <c r="B10">
        <f>SUM(B8:B9)</f>
        <v>6769476.4900000002</v>
      </c>
      <c r="C10">
        <f t="shared" ref="C10:AC10" si="0">SUM(C8:C9)</f>
        <v>3315484.8</v>
      </c>
      <c r="D10">
        <f t="shared" si="0"/>
        <v>3943531.94</v>
      </c>
      <c r="E10">
        <f t="shared" si="0"/>
        <v>6245643.9199999999</v>
      </c>
      <c r="F10">
        <f t="shared" si="0"/>
        <v>19003255.140000001</v>
      </c>
      <c r="G10">
        <f t="shared" si="0"/>
        <v>9898582.4000000004</v>
      </c>
      <c r="H10">
        <f t="shared" si="0"/>
        <v>92240227.36999999</v>
      </c>
      <c r="I10">
        <f t="shared" si="0"/>
        <v>7295356.5700000003</v>
      </c>
      <c r="J10">
        <f t="shared" si="0"/>
        <v>19183241.029999997</v>
      </c>
      <c r="K10">
        <f t="shared" si="0"/>
        <v>8120683.7599999988</v>
      </c>
      <c r="L10">
        <f t="shared" si="0"/>
        <v>39505619.469999999</v>
      </c>
      <c r="M10">
        <f t="shared" si="0"/>
        <v>7244705.04</v>
      </c>
      <c r="N10">
        <f t="shared" si="0"/>
        <v>11933699.359999999</v>
      </c>
      <c r="O10">
        <f t="shared" si="0"/>
        <v>462345.99999999994</v>
      </c>
      <c r="P10">
        <f t="shared" si="0"/>
        <v>45563790.999999993</v>
      </c>
      <c r="Q10">
        <f t="shared" si="0"/>
        <v>84590057.50999999</v>
      </c>
      <c r="R10">
        <f t="shared" si="0"/>
        <v>6230894.8499999996</v>
      </c>
      <c r="S10">
        <f t="shared" si="0"/>
        <v>21197448.950000003</v>
      </c>
      <c r="T10">
        <f t="shared" si="0"/>
        <v>33223498.210000001</v>
      </c>
      <c r="U10">
        <f t="shared" si="0"/>
        <v>10365674.699999999</v>
      </c>
      <c r="V10">
        <f t="shared" si="0"/>
        <v>1845047.17</v>
      </c>
      <c r="W10">
        <f t="shared" si="0"/>
        <v>9591771.2200000007</v>
      </c>
      <c r="X10">
        <f t="shared" si="0"/>
        <v>8624986.7500000019</v>
      </c>
      <c r="Y10">
        <f t="shared" si="0"/>
        <v>28848853.780000001</v>
      </c>
      <c r="Z10">
        <f t="shared" si="0"/>
        <v>1852919.53</v>
      </c>
      <c r="AA10">
        <f t="shared" si="0"/>
        <v>1996580.0100000002</v>
      </c>
      <c r="AC10">
        <f t="shared" si="0"/>
        <v>489093376.97000003</v>
      </c>
    </row>
    <row r="12" spans="1:29">
      <c r="A12" t="s">
        <v>5</v>
      </c>
      <c r="B12">
        <f t="shared" ref="B12:AC12" si="1">B5+B10</f>
        <v>6769476.4900000002</v>
      </c>
      <c r="C12">
        <f t="shared" si="1"/>
        <v>3315484.8</v>
      </c>
      <c r="D12">
        <f t="shared" si="1"/>
        <v>3943531.94</v>
      </c>
      <c r="E12">
        <f t="shared" si="1"/>
        <v>6245643.9199999999</v>
      </c>
      <c r="F12">
        <f t="shared" si="1"/>
        <v>19003255.140000001</v>
      </c>
      <c r="G12">
        <f t="shared" si="1"/>
        <v>9898582.4000000004</v>
      </c>
      <c r="H12">
        <f t="shared" si="1"/>
        <v>92240227.36999999</v>
      </c>
      <c r="I12">
        <f t="shared" si="1"/>
        <v>7295356.5700000003</v>
      </c>
      <c r="J12">
        <f t="shared" si="1"/>
        <v>19183241.029999997</v>
      </c>
      <c r="K12">
        <f t="shared" si="1"/>
        <v>8120683.7599999988</v>
      </c>
      <c r="L12">
        <f t="shared" si="1"/>
        <v>39505619.469999999</v>
      </c>
      <c r="M12">
        <f t="shared" si="1"/>
        <v>7244705.04</v>
      </c>
      <c r="N12">
        <f t="shared" si="1"/>
        <v>11933699.359999999</v>
      </c>
      <c r="O12">
        <f t="shared" si="1"/>
        <v>462345.99999999994</v>
      </c>
      <c r="P12">
        <f t="shared" si="1"/>
        <v>45563790.999999993</v>
      </c>
      <c r="Q12">
        <f t="shared" si="1"/>
        <v>84590057.50999999</v>
      </c>
      <c r="R12">
        <f t="shared" si="1"/>
        <v>6230894.8499999996</v>
      </c>
      <c r="S12">
        <f t="shared" si="1"/>
        <v>21197448.950000003</v>
      </c>
      <c r="T12">
        <f t="shared" si="1"/>
        <v>33223498.210000001</v>
      </c>
      <c r="U12">
        <f t="shared" si="1"/>
        <v>10365674.699999999</v>
      </c>
      <c r="V12">
        <f t="shared" si="1"/>
        <v>1845047.17</v>
      </c>
      <c r="W12">
        <f t="shared" si="1"/>
        <v>9591771.2200000007</v>
      </c>
      <c r="X12">
        <f t="shared" si="1"/>
        <v>8624986.7500000019</v>
      </c>
      <c r="Y12">
        <f t="shared" si="1"/>
        <v>28848853.780000001</v>
      </c>
      <c r="Z12">
        <f t="shared" si="1"/>
        <v>1852919.53</v>
      </c>
      <c r="AA12">
        <f t="shared" si="1"/>
        <v>1996580.0100000002</v>
      </c>
      <c r="AC12">
        <f t="shared" si="1"/>
        <v>489093376.97000003</v>
      </c>
    </row>
    <row r="16" spans="1:29">
      <c r="A16" t="s">
        <v>72</v>
      </c>
      <c r="B16">
        <f t="shared" ref="B16:T16" si="2">B8/B$12</f>
        <v>0.9813834688419163</v>
      </c>
      <c r="C16">
        <f t="shared" si="2"/>
        <v>0.99393279981256433</v>
      </c>
      <c r="D16">
        <f t="shared" si="2"/>
        <v>0.99955660559452697</v>
      </c>
      <c r="E16">
        <f t="shared" si="2"/>
        <v>0.99441756839701489</v>
      </c>
      <c r="F16">
        <f t="shared" si="2"/>
        <v>0.96639344494955814</v>
      </c>
      <c r="G16">
        <f t="shared" si="2"/>
        <v>0.99396102011536525</v>
      </c>
      <c r="H16">
        <f t="shared" si="2"/>
        <v>0.99041929291376163</v>
      </c>
      <c r="I16">
        <f t="shared" si="2"/>
        <v>0.95961337637537847</v>
      </c>
      <c r="J16">
        <f t="shared" si="2"/>
        <v>0.98100152578857536</v>
      </c>
      <c r="K16">
        <f t="shared" si="2"/>
        <v>0.99504108136825176</v>
      </c>
      <c r="L16">
        <f t="shared" si="2"/>
        <v>0.999586461870003</v>
      </c>
      <c r="M16">
        <f t="shared" si="2"/>
        <v>0.98992705022536021</v>
      </c>
      <c r="N16">
        <f t="shared" si="2"/>
        <v>0.99844627894162064</v>
      </c>
      <c r="O16">
        <f t="shared" si="2"/>
        <v>0.99786298572930232</v>
      </c>
      <c r="P16">
        <f t="shared" si="2"/>
        <v>0.99933906992067456</v>
      </c>
      <c r="Q16">
        <f t="shared" si="2"/>
        <v>0.98919247501525909</v>
      </c>
      <c r="R16">
        <f t="shared" si="2"/>
        <v>0.96941238384082185</v>
      </c>
      <c r="S16">
        <f t="shared" si="2"/>
        <v>1.0042947064156038</v>
      </c>
      <c r="T16">
        <f t="shared" si="2"/>
        <v>0.98507473635480247</v>
      </c>
      <c r="U16">
        <f t="shared" ref="U16:AA16" si="3">U8/U$12</f>
        <v>0.99462568124002582</v>
      </c>
      <c r="V16">
        <f t="shared" si="3"/>
        <v>0.96817350745563868</v>
      </c>
      <c r="W16">
        <f t="shared" si="3"/>
        <v>0.9847865428967143</v>
      </c>
      <c r="X16">
        <f t="shared" si="3"/>
        <v>0.99269156558414418</v>
      </c>
      <c r="Y16">
        <f t="shared" si="3"/>
        <v>0.99171556721724285</v>
      </c>
      <c r="Z16">
        <f t="shared" si="3"/>
        <v>0.98711444851574326</v>
      </c>
      <c r="AA16">
        <f t="shared" si="3"/>
        <v>0.98559946014885724</v>
      </c>
      <c r="AC16">
        <f>AC8/AC$12</f>
        <v>0.9903334429730174</v>
      </c>
    </row>
    <row r="17" spans="1:29">
      <c r="A17" t="s">
        <v>73</v>
      </c>
      <c r="B17">
        <f t="shared" ref="B17:T17" si="4">B9/B$12</f>
        <v>1.8616531158083684E-2</v>
      </c>
      <c r="C17">
        <f t="shared" si="4"/>
        <v>6.0672001874356356E-3</v>
      </c>
      <c r="D17">
        <f t="shared" si="4"/>
        <v>4.4339440547297833E-4</v>
      </c>
      <c r="E17">
        <f t="shared" si="4"/>
        <v>5.5824316029851415E-3</v>
      </c>
      <c r="F17">
        <f t="shared" si="4"/>
        <v>3.3606555050441737E-2</v>
      </c>
      <c r="G17">
        <f t="shared" si="4"/>
        <v>6.0389798846347932E-3</v>
      </c>
      <c r="H17">
        <f t="shared" si="4"/>
        <v>9.5807070862383992E-3</v>
      </c>
      <c r="I17">
        <f t="shared" si="4"/>
        <v>4.0386623624621545E-2</v>
      </c>
      <c r="J17">
        <f t="shared" si="4"/>
        <v>1.8998474211424744E-2</v>
      </c>
      <c r="K17">
        <f t="shared" si="4"/>
        <v>4.95891863174832E-3</v>
      </c>
      <c r="L17">
        <f t="shared" si="4"/>
        <v>4.1353812999707915E-4</v>
      </c>
      <c r="M17">
        <f t="shared" si="4"/>
        <v>1.0072949774639824E-2</v>
      </c>
      <c r="N17">
        <f t="shared" si="4"/>
        <v>1.5537210583793355E-3</v>
      </c>
      <c r="O17">
        <f t="shared" si="4"/>
        <v>2.137014270697703E-3</v>
      </c>
      <c r="P17">
        <f t="shared" si="4"/>
        <v>6.6093007932548997E-4</v>
      </c>
      <c r="Q17">
        <f t="shared" si="4"/>
        <v>1.0807524984740965E-2</v>
      </c>
      <c r="R17">
        <f t="shared" si="4"/>
        <v>3.0587616159178165E-2</v>
      </c>
      <c r="S17">
        <f t="shared" si="4"/>
        <v>-4.2947064156038453E-3</v>
      </c>
      <c r="T17">
        <f t="shared" si="4"/>
        <v>1.4925263645197584E-2</v>
      </c>
      <c r="U17">
        <f t="shared" ref="U17:AA17" si="5">U9/U$12</f>
        <v>5.3743187599742063E-3</v>
      </c>
      <c r="V17">
        <f t="shared" si="5"/>
        <v>3.1826492544361346E-2</v>
      </c>
      <c r="W17">
        <f t="shared" si="5"/>
        <v>1.5213457103285663E-2</v>
      </c>
      <c r="X17">
        <f t="shared" si="5"/>
        <v>7.3084344158557673E-3</v>
      </c>
      <c r="Y17">
        <f t="shared" si="5"/>
        <v>8.2844327827571659E-3</v>
      </c>
      <c r="Z17">
        <f t="shared" si="5"/>
        <v>1.2885551484256847E-2</v>
      </c>
      <c r="AA17">
        <f t="shared" si="5"/>
        <v>1.4400539851142754E-2</v>
      </c>
      <c r="AC17">
        <f>AC9/AC$12</f>
        <v>9.6665570269825942E-3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Jan-June 2013 ROPS </vt:lpstr>
      <vt:lpstr>Prior Yr Collections</vt:lpstr>
      <vt:lpstr>'Jan-June 2013 ROPS '!Print_Area</vt:lpstr>
      <vt:lpstr>'Jan-June 2013 ROPS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S. Orth</dc:creator>
  <cp:lastModifiedBy>Schwenk, Ashley</cp:lastModifiedBy>
  <cp:lastPrinted>2012-10-02T01:52:10Z</cp:lastPrinted>
  <dcterms:created xsi:type="dcterms:W3CDTF">2012-06-02T00:09:38Z</dcterms:created>
  <dcterms:modified xsi:type="dcterms:W3CDTF">2021-04-05T23:05:45Z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-639734122</vt:i4>
  </property>
  <property fmtid="{D5CDD505-2E9C-101B-9397-08002B2CF9AE}" pid="3" name="_NewReviewCycle">
    <vt:lpwstr/>
  </property>
  <property fmtid="{D5CDD505-2E9C-101B-9397-08002B2CF9AE}" pid="4" name="_EmailSubject">
    <vt:lpwstr>July True-Up Web Posting</vt:lpwstr>
  </property>
  <property fmtid="{D5CDD505-2E9C-101B-9397-08002B2CF9AE}" pid="5" name="_AuthorEmail">
    <vt:lpwstr>Chris.Hill@dof.ca.gov</vt:lpwstr>
  </property>
  <property fmtid="{D5CDD505-2E9C-101B-9397-08002B2CF9AE}" pid="6" name="_AuthorEmailDisplayName">
    <vt:lpwstr>Hill, Chris</vt:lpwstr>
  </property>
  <property fmtid="{D5CDD505-2E9C-101B-9397-08002B2CF9AE}" pid="7" name="_PreviousAdHocReviewCycleID">
    <vt:i4>-639734122</vt:i4>
  </property>
  <property fmtid="{D5CDD505-2E9C-101B-9397-08002B2CF9AE}" pid="8" name="_ReviewingToolsShownOnce">
    <vt:lpwstr/>
  </property>
</Properties>
</file>